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5315" windowHeight="7995"/>
  </bookViews>
  <sheets>
    <sheet name="PROJECT LIST 2015-16 rev 00" sheetId="1" r:id="rId1"/>
  </sheets>
  <definedNames>
    <definedName name="_xlnm._FilterDatabase" localSheetId="0" hidden="1">'PROJECT LIST 2015-16 rev 00'!$A$21:$IU$529</definedName>
    <definedName name="_xlnm.Print_Area" localSheetId="0">'PROJECT LIST 2015-16 rev 00'!$A$1:$AG$535</definedName>
    <definedName name="_xlnm.Print_Titles" localSheetId="0">'PROJECT LIST 2015-16 rev 00'!$19:$20</definedName>
  </definedNames>
  <calcPr calcId="145621" calcMode="manual"/>
</workbook>
</file>

<file path=xl/calcChain.xml><?xml version="1.0" encoding="utf-8"?>
<calcChain xmlns="http://schemas.openxmlformats.org/spreadsheetml/2006/main">
  <c r="AD215" i="1" l="1"/>
  <c r="AF215" i="1" s="1"/>
  <c r="AB215" i="1"/>
  <c r="Z215" i="1"/>
  <c r="AD110" i="1"/>
  <c r="AF110" i="1" s="1"/>
  <c r="AB110" i="1"/>
  <c r="Z110" i="1"/>
  <c r="AA215" i="1" l="1"/>
  <c r="AA110" i="1"/>
  <c r="W15" i="1" l="1"/>
  <c r="Y14" i="1"/>
  <c r="W12" i="1"/>
  <c r="Y11" i="1"/>
  <c r="W3" i="1"/>
  <c r="AG16" i="1"/>
  <c r="AF16" i="1"/>
  <c r="AE16" i="1"/>
  <c r="AD16" i="1"/>
  <c r="AC16" i="1"/>
  <c r="AB16" i="1"/>
  <c r="AA16" i="1"/>
  <c r="Z16" i="1"/>
  <c r="Y16" i="1"/>
  <c r="X16" i="1"/>
  <c r="W16" i="1"/>
  <c r="W9" i="1"/>
  <c r="AG8" i="1"/>
  <c r="AF8" i="1"/>
  <c r="AE8" i="1"/>
  <c r="AD8" i="1"/>
  <c r="AC8" i="1"/>
  <c r="AB8" i="1"/>
  <c r="AA8" i="1"/>
  <c r="Z8" i="1"/>
  <c r="Y8" i="1"/>
  <c r="W8" i="1"/>
  <c r="AG7" i="1"/>
  <c r="AE7" i="1"/>
  <c r="AC7" i="1"/>
  <c r="AA7" i="1"/>
  <c r="W7" i="1"/>
  <c r="AG5" i="1"/>
  <c r="AE5" i="1"/>
  <c r="AC5" i="1"/>
  <c r="AA5" i="1"/>
  <c r="W5" i="1"/>
  <c r="T249" i="1"/>
  <c r="AE249" i="1" s="1"/>
  <c r="AG249" i="1" s="1"/>
  <c r="AC45" i="1"/>
  <c r="AE45" i="1" s="1"/>
  <c r="AG45" i="1" s="1"/>
  <c r="AB45" i="1"/>
  <c r="AD45" i="1" s="1"/>
  <c r="AF45" i="1" s="1"/>
  <c r="Z45" i="1"/>
  <c r="X45" i="1"/>
  <c r="Y45" i="1" s="1"/>
  <c r="AA97" i="1"/>
  <c r="AC97" i="1" s="1"/>
  <c r="AE97" i="1" s="1"/>
  <c r="AG97" i="1" s="1"/>
  <c r="Y97" i="1"/>
  <c r="T261" i="1"/>
  <c r="AC261" i="1" s="1"/>
  <c r="AC44" i="1"/>
  <c r="AE44" i="1" s="1"/>
  <c r="AG44" i="1" s="1"/>
  <c r="AB44" i="1"/>
  <c r="AD44" i="1" s="1"/>
  <c r="AF44" i="1" s="1"/>
  <c r="Z44" i="1"/>
  <c r="X44" i="1"/>
  <c r="Y44" i="1" s="1"/>
  <c r="AA214" i="1"/>
  <c r="AC214" i="1" s="1"/>
  <c r="AE214" i="1" s="1"/>
  <c r="AG214" i="1" s="1"/>
  <c r="Y214" i="1"/>
  <c r="T141" i="1"/>
  <c r="AC141" i="1" s="1"/>
  <c r="AE141" i="1" s="1"/>
  <c r="Z395" i="1"/>
  <c r="AB395" i="1" s="1"/>
  <c r="AD395" i="1" s="1"/>
  <c r="AF395" i="1" s="1"/>
  <c r="AF311" i="1"/>
  <c r="T262" i="1"/>
  <c r="AB262" i="1" s="1"/>
  <c r="AD213" i="1"/>
  <c r="AF213" i="1" s="1"/>
  <c r="AB213" i="1"/>
  <c r="Z213" i="1"/>
  <c r="AG362" i="1"/>
  <c r="T96" i="1"/>
  <c r="AC96" i="1" s="1"/>
  <c r="AE96" i="1" s="1"/>
  <c r="Z42" i="1"/>
  <c r="AB42" i="1" s="1"/>
  <c r="AD42" i="1" s="1"/>
  <c r="AF42" i="1" s="1"/>
  <c r="X42" i="1"/>
  <c r="W42" i="1" s="1"/>
  <c r="W4" i="1" s="1"/>
  <c r="X72" i="1"/>
  <c r="AB134" i="1"/>
  <c r="AD134" i="1" s="1"/>
  <c r="AF134" i="1" s="1"/>
  <c r="AA409" i="1"/>
  <c r="AC409" i="1" s="1"/>
  <c r="AE409" i="1" s="1"/>
  <c r="AG409" i="1" s="1"/>
  <c r="AG9" i="1" s="1"/>
  <c r="X133" i="1"/>
  <c r="T94" i="1"/>
  <c r="AB94" i="1" s="1"/>
  <c r="AD94" i="1" s="1"/>
  <c r="AF94" i="1" s="1"/>
  <c r="T84" i="1"/>
  <c r="Y84" i="1" s="1"/>
  <c r="T255" i="1"/>
  <c r="AF255" i="1" s="1"/>
  <c r="AG255" i="1" s="1"/>
  <c r="T132" i="1"/>
  <c r="X83" i="1"/>
  <c r="Z83" i="1"/>
  <c r="AB83" i="1"/>
  <c r="AD83" i="1" s="1"/>
  <c r="AF83" i="1" s="1"/>
  <c r="AC83" i="1"/>
  <c r="AE83" i="1" s="1"/>
  <c r="AG83" i="1" s="1"/>
  <c r="T131" i="1"/>
  <c r="AA131" i="1" s="1"/>
  <c r="AC131" i="1" s="1"/>
  <c r="AE131" i="1" s="1"/>
  <c r="AG131" i="1" s="1"/>
  <c r="T260" i="1"/>
  <c r="T212" i="1"/>
  <c r="AB212" i="1" s="1"/>
  <c r="AD212" i="1" s="1"/>
  <c r="AF212" i="1" s="1"/>
  <c r="T130" i="1"/>
  <c r="Y130" i="1" s="1"/>
  <c r="AA129" i="1"/>
  <c r="Z129" i="1" s="1"/>
  <c r="Z396" i="1"/>
  <c r="AB396" i="1" s="1"/>
  <c r="AD396" i="1" s="1"/>
  <c r="AF396" i="1" s="1"/>
  <c r="T128" i="1"/>
  <c r="AF128" i="1" s="1"/>
  <c r="Z270" i="1"/>
  <c r="AA270" i="1" s="1"/>
  <c r="AB270" i="1" s="1"/>
  <c r="AC270" i="1" s="1"/>
  <c r="AD270" i="1" s="1"/>
  <c r="AE270" i="1" s="1"/>
  <c r="AF270" i="1" s="1"/>
  <c r="AG270" i="1" s="1"/>
  <c r="AA127" i="1"/>
  <c r="AC127" i="1" s="1"/>
  <c r="AE127" i="1" s="1"/>
  <c r="AG127" i="1" s="1"/>
  <c r="Y127" i="1"/>
  <c r="T126" i="1"/>
  <c r="Y126" i="1" s="1"/>
  <c r="X126" i="1" s="1"/>
  <c r="T211" i="1"/>
  <c r="AB211" i="1" s="1"/>
  <c r="AD211" i="1" s="1"/>
  <c r="AF211" i="1" s="1"/>
  <c r="AB82" i="1"/>
  <c r="AD82" i="1" s="1"/>
  <c r="AF82" i="1" s="1"/>
  <c r="AA92" i="1"/>
  <c r="AC92" i="1" s="1"/>
  <c r="AE92" i="1" s="1"/>
  <c r="AG92" i="1" s="1"/>
  <c r="AA100" i="1"/>
  <c r="AC100" i="1" s="1"/>
  <c r="AE100" i="1" s="1"/>
  <c r="AG100" i="1" s="1"/>
  <c r="T210" i="1"/>
  <c r="AA209" i="1"/>
  <c r="AC209" i="1" s="1"/>
  <c r="AE209" i="1" s="1"/>
  <c r="AG209" i="1" s="1"/>
  <c r="Y209" i="1"/>
  <c r="Y125" i="1"/>
  <c r="AA125" i="1"/>
  <c r="AC125" i="1" s="1"/>
  <c r="AE125" i="1" s="1"/>
  <c r="AG125" i="1" s="1"/>
  <c r="AC90" i="1"/>
  <c r="AE90" i="1" s="1"/>
  <c r="Z90" i="1"/>
  <c r="AB90" i="1" s="1"/>
  <c r="AD90" i="1" s="1"/>
  <c r="AF90" i="1" s="1"/>
  <c r="T248" i="1"/>
  <c r="AE124" i="1"/>
  <c r="AG124" i="1" s="1"/>
  <c r="AB208" i="1"/>
  <c r="AD208" i="1" s="1"/>
  <c r="AF208" i="1" s="1"/>
  <c r="Z208" i="1"/>
  <c r="Y208" i="1" s="1"/>
  <c r="AC124" i="1"/>
  <c r="AA124" i="1"/>
  <c r="Y124" i="1"/>
  <c r="T89" i="1"/>
  <c r="AB89" i="1" s="1"/>
  <c r="AD89" i="1" s="1"/>
  <c r="AF89" i="1" s="1"/>
  <c r="AA123" i="1"/>
  <c r="AC123" i="1" s="1"/>
  <c r="AE123" i="1" s="1"/>
  <c r="AG123" i="1" s="1"/>
  <c r="Y123" i="1"/>
  <c r="AC88" i="1"/>
  <c r="AE88" i="1" s="1"/>
  <c r="AB88" i="1"/>
  <c r="AD88" i="1" s="1"/>
  <c r="AF88" i="1" s="1"/>
  <c r="AC122" i="1"/>
  <c r="AE122" i="1" s="1"/>
  <c r="AG122" i="1" s="1"/>
  <c r="AA122" i="1"/>
  <c r="Z122" i="1" s="1"/>
  <c r="T121" i="1"/>
  <c r="Y121" i="1" s="1"/>
  <c r="AG187" i="1"/>
  <c r="X120" i="1"/>
  <c r="AB120" i="1"/>
  <c r="AD120" i="1" s="1"/>
  <c r="AF120" i="1" s="1"/>
  <c r="Z120" i="1"/>
  <c r="AD206" i="1"/>
  <c r="AF206" i="1" s="1"/>
  <c r="AB206" i="1"/>
  <c r="Z206" i="1"/>
  <c r="AC120" i="1"/>
  <c r="AE120" i="1" s="1"/>
  <c r="AG120" i="1" s="1"/>
  <c r="T119" i="1"/>
  <c r="AA119" i="1" s="1"/>
  <c r="AC119" i="1" s="1"/>
  <c r="AE119" i="1" s="1"/>
  <c r="AG119" i="1" s="1"/>
  <c r="AB412" i="1"/>
  <c r="AD412" i="1" s="1"/>
  <c r="AF412" i="1" s="1"/>
  <c r="T291" i="1"/>
  <c r="T118" i="1"/>
  <c r="T117" i="1"/>
  <c r="T115" i="1"/>
  <c r="AC115" i="1" s="1"/>
  <c r="AE115" i="1" s="1"/>
  <c r="AG115" i="1" s="1"/>
  <c r="T116" i="1"/>
  <c r="T441" i="1"/>
  <c r="T264" i="1"/>
  <c r="AD264" i="1" s="1"/>
  <c r="AF264" i="1" s="1"/>
  <c r="X227" i="1"/>
  <c r="W397" i="1"/>
  <c r="AA142" i="1"/>
  <c r="AC142" i="1" s="1"/>
  <c r="AE142" i="1" s="1"/>
  <c r="AG142" i="1" s="1"/>
  <c r="T279" i="1"/>
  <c r="X279" i="1" s="1"/>
  <c r="T79" i="1"/>
  <c r="AC79" i="1" s="1"/>
  <c r="AE79" i="1" s="1"/>
  <c r="AG79" i="1" s="1"/>
  <c r="T247" i="1"/>
  <c r="Z247" i="1" s="1"/>
  <c r="AB112" i="1"/>
  <c r="AD112" i="1" s="1"/>
  <c r="AF112" i="1" s="1"/>
  <c r="AB411" i="1"/>
  <c r="AD411" i="1" s="1"/>
  <c r="AF411" i="1" s="1"/>
  <c r="T286" i="1"/>
  <c r="AC286" i="1" s="1"/>
  <c r="AE286" i="1" s="1"/>
  <c r="AG286" i="1" s="1"/>
  <c r="AB111" i="1"/>
  <c r="AD111" i="1" s="1"/>
  <c r="AF111" i="1" s="1"/>
  <c r="AC109" i="1"/>
  <c r="AE109" i="1" s="1"/>
  <c r="AG109" i="1" s="1"/>
  <c r="AA109" i="1"/>
  <c r="Y109" i="1"/>
  <c r="AC268" i="1"/>
  <c r="AE268" i="1" s="1"/>
  <c r="AG268" i="1" s="1"/>
  <c r="AA108" i="1"/>
  <c r="AC108" i="1" s="1"/>
  <c r="AE108" i="1" s="1"/>
  <c r="AG108" i="1" s="1"/>
  <c r="T250" i="1"/>
  <c r="AC250" i="1" s="1"/>
  <c r="T265" i="1"/>
  <c r="AD265" i="1" s="1"/>
  <c r="AF265" i="1" s="1"/>
  <c r="T341" i="1"/>
  <c r="AG379" i="1"/>
  <c r="AB78" i="1"/>
  <c r="AD78" i="1" s="1"/>
  <c r="AF78" i="1" s="1"/>
  <c r="T107" i="1"/>
  <c r="AA107" i="1" s="1"/>
  <c r="T282" i="1"/>
  <c r="X282" i="1" s="1"/>
  <c r="AB87" i="1"/>
  <c r="AD87" i="1" s="1"/>
  <c r="AF87" i="1" s="1"/>
  <c r="T106" i="1"/>
  <c r="Y106" i="1" s="1"/>
  <c r="AA77" i="1"/>
  <c r="AC77" i="1" s="1"/>
  <c r="AE77" i="1" s="1"/>
  <c r="AG77" i="1" s="1"/>
  <c r="AB86" i="1"/>
  <c r="AD86" i="1" s="1"/>
  <c r="AF86" i="1" s="1"/>
  <c r="AB140" i="1"/>
  <c r="AD140" i="1" s="1"/>
  <c r="AF140" i="1" s="1"/>
  <c r="T259" i="1"/>
  <c r="Y76" i="1"/>
  <c r="Y9" i="1" s="1"/>
  <c r="AD248" i="1" l="1"/>
  <c r="AF248" i="1" s="1"/>
  <c r="AB248" i="1"/>
  <c r="Z248" i="1"/>
  <c r="AA248" i="1"/>
  <c r="AD117" i="1"/>
  <c r="AF117" i="1" s="1"/>
  <c r="AB117" i="1"/>
  <c r="Z117" i="1"/>
  <c r="AA117" i="1"/>
  <c r="Z260" i="1"/>
  <c r="AD260" i="1"/>
  <c r="AF260" i="1" s="1"/>
  <c r="AB260" i="1"/>
  <c r="AA260" i="1"/>
  <c r="AD441" i="1"/>
  <c r="AF441" i="1" s="1"/>
  <c r="AB441" i="1"/>
  <c r="Z441" i="1"/>
  <c r="AA441" i="1"/>
  <c r="AD118" i="1"/>
  <c r="AF118" i="1" s="1"/>
  <c r="AB118" i="1"/>
  <c r="Z118" i="1"/>
  <c r="AA118" i="1"/>
  <c r="Z116" i="1"/>
  <c r="AB116" i="1"/>
  <c r="AD116" i="1"/>
  <c r="AF116" i="1" s="1"/>
  <c r="AA116" i="1"/>
  <c r="AD291" i="1"/>
  <c r="AF291" i="1" s="1"/>
  <c r="AB291" i="1"/>
  <c r="Z291" i="1"/>
  <c r="AA291" i="1"/>
  <c r="X210" i="1"/>
  <c r="Y210" i="1" s="1"/>
  <c r="AA210" i="1"/>
  <c r="AC210" i="1" s="1"/>
  <c r="AE210" i="1" s="1"/>
  <c r="AG210" i="1" s="1"/>
  <c r="AA132" i="1"/>
  <c r="AC132" i="1" s="1"/>
  <c r="AE132" i="1" s="1"/>
  <c r="AG132" i="1" s="1"/>
  <c r="X132" i="1"/>
  <c r="Y132" i="1" s="1"/>
  <c r="AC9" i="1"/>
  <c r="AA9" i="1"/>
  <c r="AE9" i="1"/>
  <c r="AF10" i="1"/>
  <c r="AB10" i="1"/>
  <c r="Z10" i="1"/>
  <c r="AD10" i="1"/>
  <c r="AC249" i="1"/>
  <c r="AA249" i="1"/>
  <c r="AA261" i="1"/>
  <c r="AB261" i="1" s="1"/>
  <c r="AE261" i="1"/>
  <c r="AG261" i="1" s="1"/>
  <c r="X141" i="1"/>
  <c r="Y141" i="1" s="1"/>
  <c r="Z214" i="1"/>
  <c r="AB141" i="1"/>
  <c r="AD141" i="1" s="1"/>
  <c r="AF141" i="1" s="1"/>
  <c r="Z141" i="1"/>
  <c r="AG141" i="1"/>
  <c r="AD262" i="1"/>
  <c r="AF262" i="1" s="1"/>
  <c r="Z262" i="1"/>
  <c r="AA262" i="1" s="1"/>
  <c r="Z94" i="1"/>
  <c r="Y94" i="1" s="1"/>
  <c r="AG311" i="1"/>
  <c r="X96" i="1"/>
  <c r="AA213" i="1"/>
  <c r="Z96" i="1"/>
  <c r="AB96" i="1" s="1"/>
  <c r="AD96" i="1" s="1"/>
  <c r="AF96" i="1" s="1"/>
  <c r="AG96" i="1"/>
  <c r="AA84" i="1"/>
  <c r="AC84" i="1" s="1"/>
  <c r="AE84" i="1" s="1"/>
  <c r="AG84" i="1" s="1"/>
  <c r="Y131" i="1"/>
  <c r="Z131" i="1" s="1"/>
  <c r="Y83" i="1"/>
  <c r="Y212" i="1"/>
  <c r="Z212" i="1" s="1"/>
  <c r="Z130" i="1"/>
  <c r="AB130" i="1"/>
  <c r="AD130" i="1" s="1"/>
  <c r="AF130" i="1" s="1"/>
  <c r="AH128" i="1"/>
  <c r="AG128" i="1" s="1"/>
  <c r="AC129" i="1"/>
  <c r="Z127" i="1"/>
  <c r="AA126" i="1"/>
  <c r="AC126" i="1" s="1"/>
  <c r="AE126" i="1" s="1"/>
  <c r="AG126" i="1" s="1"/>
  <c r="Z125" i="1"/>
  <c r="Z209" i="1"/>
  <c r="Z124" i="1"/>
  <c r="Z123" i="1"/>
  <c r="AA206" i="1"/>
  <c r="Y120" i="1"/>
  <c r="Y119" i="1"/>
  <c r="Z119" i="1" s="1"/>
  <c r="AA264" i="1"/>
  <c r="Y79" i="1"/>
  <c r="AA79" i="1"/>
  <c r="Y115" i="1"/>
  <c r="AA115" i="1"/>
  <c r="AD247" i="1"/>
  <c r="AF247" i="1" s="1"/>
  <c r="AB247" i="1"/>
  <c r="AA247" i="1" s="1"/>
  <c r="Z286" i="1"/>
  <c r="AA286" i="1" s="1"/>
  <c r="AE250" i="1"/>
  <c r="AG250" i="1" s="1"/>
  <c r="AA250" i="1"/>
  <c r="AB250" i="1" s="1"/>
  <c r="Z109" i="1"/>
  <c r="AA265" i="1"/>
  <c r="Y107" i="1"/>
  <c r="Z107" i="1" s="1"/>
  <c r="AC107" i="1"/>
  <c r="AE107" i="1" s="1"/>
  <c r="AG107" i="1" s="1"/>
  <c r="AC106" i="1"/>
  <c r="AE106" i="1" s="1"/>
  <c r="AG106" i="1" s="1"/>
  <c r="AA106" i="1"/>
  <c r="Z106" i="1" s="1"/>
  <c r="AE129" i="1" l="1"/>
  <c r="AB264" i="1"/>
  <c r="AB249" i="1"/>
  <c r="AB265" i="1"/>
  <c r="Y96" i="1"/>
  <c r="Z84" i="1"/>
  <c r="Z79" i="1"/>
  <c r="Z115" i="1"/>
  <c r="AG129" i="1" l="1"/>
  <c r="X75" i="1" l="1"/>
  <c r="T287" i="1"/>
  <c r="X287" i="1" s="1"/>
  <c r="AA75" i="1" s="1"/>
  <c r="T245" i="1"/>
  <c r="AA245" i="1" s="1"/>
  <c r="AC245" i="1" s="1"/>
  <c r="AE245" i="1" s="1"/>
  <c r="AG245" i="1" s="1"/>
  <c r="AA30" i="1"/>
  <c r="AC30" i="1" s="1"/>
  <c r="AE30" i="1" s="1"/>
  <c r="AG30" i="1" s="1"/>
  <c r="T246" i="1"/>
  <c r="AA246" i="1" s="1"/>
  <c r="AC246" i="1" s="1"/>
  <c r="AE246" i="1" s="1"/>
  <c r="AG246" i="1" s="1"/>
  <c r="AC139" i="1"/>
  <c r="AE139" i="1" s="1"/>
  <c r="AG139" i="1" s="1"/>
  <c r="AA139" i="1"/>
  <c r="Y139" i="1"/>
  <c r="T105" i="1"/>
  <c r="AA105" i="1" s="1"/>
  <c r="T138" i="1"/>
  <c r="Y138" i="1" s="1"/>
  <c r="Y53" i="1"/>
  <c r="T243" i="1"/>
  <c r="AD243" i="1" s="1"/>
  <c r="AF243" i="1" s="1"/>
  <c r="AC136" i="1"/>
  <c r="AE136" i="1" s="1"/>
  <c r="AG136" i="1" s="1"/>
  <c r="AA136" i="1"/>
  <c r="Y136" i="1"/>
  <c r="AB104" i="1"/>
  <c r="AD104" i="1" s="1"/>
  <c r="AF104" i="1" s="1"/>
  <c r="Y74" i="1"/>
  <c r="AC74" i="1"/>
  <c r="AB73" i="1"/>
  <c r="X258" i="1"/>
  <c r="Y36" i="1"/>
  <c r="AA36" i="1"/>
  <c r="T251" i="1"/>
  <c r="AE251" i="1" s="1"/>
  <c r="AG251" i="1" s="1"/>
  <c r="AB102" i="1"/>
  <c r="AD102" i="1" s="1"/>
  <c r="AF102" i="1" s="1"/>
  <c r="AA99" i="1"/>
  <c r="AC99" i="1" s="1"/>
  <c r="AE99" i="1" s="1"/>
  <c r="AG99" i="1" s="1"/>
  <c r="T476" i="1"/>
  <c r="T473" i="1"/>
  <c r="T472" i="1"/>
  <c r="T471" i="1"/>
  <c r="T470" i="1"/>
  <c r="T474" i="1"/>
  <c r="T475" i="1"/>
  <c r="T477" i="1"/>
  <c r="AB477" i="1" s="1"/>
  <c r="AA477" i="1" s="1"/>
  <c r="T478" i="1"/>
  <c r="T479" i="1"/>
  <c r="T480" i="1"/>
  <c r="T481" i="1"/>
  <c r="T482" i="1"/>
  <c r="T483" i="1"/>
  <c r="T485" i="1"/>
  <c r="T484" i="1"/>
  <c r="T486" i="1"/>
  <c r="T487" i="1"/>
  <c r="T488" i="1"/>
  <c r="T491" i="1"/>
  <c r="T489" i="1"/>
  <c r="T490" i="1"/>
  <c r="T469" i="1"/>
  <c r="T468" i="1"/>
  <c r="T467" i="1"/>
  <c r="T466" i="1"/>
  <c r="T465" i="1"/>
  <c r="AA489" i="1" l="1"/>
  <c r="AC489" i="1" s="1"/>
  <c r="AE489" i="1" s="1"/>
  <c r="AG489" i="1" s="1"/>
  <c r="X489" i="1"/>
  <c r="Y489" i="1" s="1"/>
  <c r="AA486" i="1"/>
  <c r="AC486" i="1" s="1"/>
  <c r="AE486" i="1" s="1"/>
  <c r="AG486" i="1" s="1"/>
  <c r="X486" i="1"/>
  <c r="Y486" i="1" s="1"/>
  <c r="X488" i="1"/>
  <c r="Y488" i="1" s="1"/>
  <c r="AA488" i="1"/>
  <c r="AC488" i="1" s="1"/>
  <c r="AE488" i="1" s="1"/>
  <c r="AG488" i="1" s="1"/>
  <c r="AD468" i="1"/>
  <c r="AF468" i="1" s="1"/>
  <c r="AB468" i="1"/>
  <c r="AA468" i="1" s="1"/>
  <c r="Z468" i="1"/>
  <c r="Y75" i="1"/>
  <c r="AE74" i="1"/>
  <c r="AC75" i="1"/>
  <c r="AD73" i="1"/>
  <c r="Z74" i="1"/>
  <c r="AD491" i="1"/>
  <c r="AB491" i="1"/>
  <c r="AF491" i="1"/>
  <c r="AD469" i="1"/>
  <c r="AF469" i="1"/>
  <c r="AE469" i="1" s="1"/>
  <c r="AF475" i="1"/>
  <c r="AE475" i="1" s="1"/>
  <c r="AD475" i="1"/>
  <c r="AE470" i="1"/>
  <c r="AG470" i="1" s="1"/>
  <c r="AA470" i="1"/>
  <c r="AC470" i="1"/>
  <c r="AC485" i="1"/>
  <c r="AG485" i="1"/>
  <c r="AE485" i="1"/>
  <c r="AF482" i="1"/>
  <c r="AH482" i="1"/>
  <c r="AD474" i="1"/>
  <c r="AF474" i="1"/>
  <c r="AB474" i="1"/>
  <c r="AB480" i="1"/>
  <c r="AD480" i="1"/>
  <c r="AF480" i="1"/>
  <c r="AH468" i="1"/>
  <c r="AA466" i="1"/>
  <c r="AC466" i="1" s="1"/>
  <c r="AE466" i="1" s="1"/>
  <c r="AG466" i="1" s="1"/>
  <c r="Y466" i="1"/>
  <c r="AB490" i="1"/>
  <c r="AD490" i="1"/>
  <c r="AF490" i="1"/>
  <c r="AD471" i="1"/>
  <c r="AF471" i="1"/>
  <c r="AC473" i="1"/>
  <c r="AE473" i="1"/>
  <c r="AG473" i="1" s="1"/>
  <c r="AA473" i="1"/>
  <c r="AC465" i="1"/>
  <c r="AE465" i="1"/>
  <c r="AG465" i="1" s="1"/>
  <c r="AA465" i="1"/>
  <c r="AB487" i="1"/>
  <c r="AD487" i="1"/>
  <c r="AF487" i="1"/>
  <c r="AB479" i="1"/>
  <c r="AD479" i="1"/>
  <c r="AF479" i="1"/>
  <c r="AA476" i="1"/>
  <c r="AC476" i="1"/>
  <c r="AE476" i="1"/>
  <c r="AG476" i="1" s="1"/>
  <c r="AA483" i="1"/>
  <c r="AC483" i="1"/>
  <c r="AE483" i="1"/>
  <c r="AG483" i="1" s="1"/>
  <c r="AA484" i="1"/>
  <c r="AB484" i="1" s="1"/>
  <c r="AD484" i="1"/>
  <c r="AF484" i="1" s="1"/>
  <c r="AD478" i="1"/>
  <c r="AF478" i="1"/>
  <c r="AB478" i="1"/>
  <c r="AA472" i="1"/>
  <c r="AC472" i="1"/>
  <c r="AE472" i="1"/>
  <c r="AG472" i="1" s="1"/>
  <c r="AA467" i="1"/>
  <c r="AE467" i="1"/>
  <c r="AG467" i="1" s="1"/>
  <c r="AC467" i="1"/>
  <c r="AA481" i="1"/>
  <c r="AC481" i="1"/>
  <c r="AE481" i="1"/>
  <c r="AG481" i="1" s="1"/>
  <c r="Z139" i="1"/>
  <c r="AC105" i="1"/>
  <c r="AE105" i="1" s="1"/>
  <c r="AG105" i="1" s="1"/>
  <c r="AB243" i="1"/>
  <c r="Y105" i="1"/>
  <c r="Z105" i="1" s="1"/>
  <c r="Z243" i="1"/>
  <c r="AA138" i="1"/>
  <c r="Z138" i="1" s="1"/>
  <c r="AC138" i="1"/>
  <c r="AE138" i="1" s="1"/>
  <c r="AG138" i="1" s="1"/>
  <c r="Z136" i="1"/>
  <c r="AA251" i="1"/>
  <c r="AC251" i="1"/>
  <c r="Z36" i="1"/>
  <c r="Z477" i="1"/>
  <c r="AD477" i="1"/>
  <c r="AF477" i="1" s="1"/>
  <c r="AE75" i="1" l="1"/>
  <c r="AC491" i="1"/>
  <c r="AF73" i="1"/>
  <c r="AG74" i="1"/>
  <c r="AB470" i="1"/>
  <c r="AD485" i="1"/>
  <c r="AC490" i="1"/>
  <c r="AC474" i="1"/>
  <c r="AG482" i="1"/>
  <c r="Z466" i="1"/>
  <c r="AC480" i="1"/>
  <c r="AE471" i="1"/>
  <c r="AB465" i="1"/>
  <c r="AB473" i="1"/>
  <c r="AC487" i="1"/>
  <c r="AC479" i="1"/>
  <c r="AB476" i="1"/>
  <c r="AB483" i="1"/>
  <c r="AB472" i="1"/>
  <c r="AC478" i="1"/>
  <c r="AB467" i="1"/>
  <c r="AB481" i="1"/>
  <c r="AA243" i="1"/>
  <c r="AB251" i="1"/>
  <c r="T464" i="1"/>
  <c r="T463" i="1"/>
  <c r="T462" i="1"/>
  <c r="T461" i="1"/>
  <c r="T492" i="1"/>
  <c r="T494" i="1"/>
  <c r="T493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11" i="1"/>
  <c r="T509" i="1"/>
  <c r="T510" i="1"/>
  <c r="T513" i="1"/>
  <c r="T512" i="1"/>
  <c r="T514" i="1"/>
  <c r="T515" i="1"/>
  <c r="T516" i="1"/>
  <c r="T517" i="1"/>
  <c r="T518" i="1"/>
  <c r="T519" i="1"/>
  <c r="T520" i="1"/>
  <c r="T522" i="1"/>
  <c r="T523" i="1"/>
  <c r="T524" i="1"/>
  <c r="T521" i="1"/>
  <c r="T525" i="1"/>
  <c r="T526" i="1"/>
  <c r="T527" i="1"/>
  <c r="T113" i="1"/>
  <c r="X113" i="1" s="1"/>
  <c r="Y113" i="1" s="1"/>
  <c r="X108" i="1"/>
  <c r="X97" i="1"/>
  <c r="X100" i="1"/>
  <c r="X99" i="1"/>
  <c r="T93" i="1"/>
  <c r="X93" i="1" s="1"/>
  <c r="X87" i="1"/>
  <c r="X81" i="1"/>
  <c r="X80" i="1"/>
  <c r="X77" i="1"/>
  <c r="X39" i="1"/>
  <c r="X63" i="1"/>
  <c r="X65" i="1"/>
  <c r="X66" i="1"/>
  <c r="X71" i="1"/>
  <c r="X70" i="1"/>
  <c r="X69" i="1"/>
  <c r="X68" i="1"/>
  <c r="Y30" i="1"/>
  <c r="AA503" i="1" l="1"/>
  <c r="AC503" i="1" s="1"/>
  <c r="AE503" i="1" s="1"/>
  <c r="AG503" i="1" s="1"/>
  <c r="X503" i="1"/>
  <c r="Y503" i="1" s="1"/>
  <c r="AA509" i="1"/>
  <c r="AC509" i="1" s="1"/>
  <c r="AE509" i="1" s="1"/>
  <c r="AG509" i="1" s="1"/>
  <c r="X509" i="1"/>
  <c r="Y509" i="1" s="1"/>
  <c r="AA507" i="1"/>
  <c r="AC507" i="1" s="1"/>
  <c r="AE507" i="1" s="1"/>
  <c r="AG507" i="1" s="1"/>
  <c r="X507" i="1"/>
  <c r="Y507" i="1" s="1"/>
  <c r="X511" i="1"/>
  <c r="Y511" i="1" s="1"/>
  <c r="AA511" i="1"/>
  <c r="AC511" i="1" s="1"/>
  <c r="AE511" i="1" s="1"/>
  <c r="AG511" i="1" s="1"/>
  <c r="AA501" i="1"/>
  <c r="AC501" i="1" s="1"/>
  <c r="AE501" i="1" s="1"/>
  <c r="AG501" i="1" s="1"/>
  <c r="X501" i="1"/>
  <c r="Y501" i="1" s="1"/>
  <c r="AA510" i="1"/>
  <c r="AC510" i="1" s="1"/>
  <c r="AE510" i="1" s="1"/>
  <c r="AG510" i="1" s="1"/>
  <c r="X510" i="1"/>
  <c r="Y510" i="1" s="1"/>
  <c r="X4" i="1"/>
  <c r="X508" i="1"/>
  <c r="Y508" i="1" s="1"/>
  <c r="AA508" i="1"/>
  <c r="AC508" i="1" s="1"/>
  <c r="AE508" i="1" s="1"/>
  <c r="AG508" i="1" s="1"/>
  <c r="AA504" i="1"/>
  <c r="AC504" i="1" s="1"/>
  <c r="AE504" i="1" s="1"/>
  <c r="AG504" i="1" s="1"/>
  <c r="X504" i="1"/>
  <c r="Y504" i="1" s="1"/>
  <c r="X500" i="1"/>
  <c r="Y500" i="1" s="1"/>
  <c r="AA500" i="1"/>
  <c r="AC500" i="1" s="1"/>
  <c r="AE500" i="1" s="1"/>
  <c r="AG500" i="1" s="1"/>
  <c r="X492" i="1"/>
  <c r="Y492" i="1" s="1"/>
  <c r="AA492" i="1"/>
  <c r="AC492" i="1" s="1"/>
  <c r="AE492" i="1" s="1"/>
  <c r="AG492" i="1" s="1"/>
  <c r="AG75" i="1"/>
  <c r="AF464" i="1"/>
  <c r="AD464" i="1"/>
  <c r="AB464" i="1"/>
  <c r="AD499" i="1"/>
  <c r="AF499" i="1"/>
  <c r="AE499" i="1" s="1"/>
  <c r="AD522" i="1"/>
  <c r="AF522" i="1"/>
  <c r="AE522" i="1" s="1"/>
  <c r="Y526" i="1"/>
  <c r="AA526" i="1"/>
  <c r="AC526" i="1" s="1"/>
  <c r="AE526" i="1" s="1"/>
  <c r="AG526" i="1" s="1"/>
  <c r="AB494" i="1"/>
  <c r="AF494" i="1"/>
  <c r="AD494" i="1"/>
  <c r="AF461" i="1"/>
  <c r="AB461" i="1"/>
  <c r="AD461" i="1"/>
  <c r="AA521" i="1"/>
  <c r="AC521" i="1" s="1"/>
  <c r="AE521" i="1" s="1"/>
  <c r="AG521" i="1" s="1"/>
  <c r="Y521" i="1"/>
  <c r="AB496" i="1"/>
  <c r="AD496" i="1"/>
  <c r="AF496" i="1"/>
  <c r="Y525" i="1"/>
  <c r="AA525" i="1"/>
  <c r="AC525" i="1" s="1"/>
  <c r="AE525" i="1" s="1"/>
  <c r="AG525" i="1" s="1"/>
  <c r="Y523" i="1"/>
  <c r="AA523" i="1"/>
  <c r="AC523" i="1" s="1"/>
  <c r="AE523" i="1" s="1"/>
  <c r="AG523" i="1" s="1"/>
  <c r="AA498" i="1"/>
  <c r="AB498" i="1" s="1"/>
  <c r="AE498" i="1"/>
  <c r="AG498" i="1" s="1"/>
  <c r="AA462" i="1"/>
  <c r="AC462" i="1"/>
  <c r="AE462" i="1"/>
  <c r="AG462" i="1" s="1"/>
  <c r="Z527" i="1"/>
  <c r="AB527" i="1"/>
  <c r="AD527" i="1"/>
  <c r="AF527" i="1" s="1"/>
  <c r="AA524" i="1"/>
  <c r="Y524" i="1"/>
  <c r="AF519" i="1"/>
  <c r="AB519" i="1"/>
  <c r="AD519" i="1"/>
  <c r="AE515" i="1"/>
  <c r="AG515" i="1"/>
  <c r="AC515" i="1"/>
  <c r="AD516" i="1"/>
  <c r="AF516" i="1"/>
  <c r="AB516" i="1"/>
  <c r="AA493" i="1"/>
  <c r="AC493" i="1" s="1"/>
  <c r="AE493" i="1" s="1"/>
  <c r="AG493" i="1" s="1"/>
  <c r="Y493" i="1"/>
  <c r="AA506" i="1"/>
  <c r="AB506" i="1" s="1"/>
  <c r="AD506" i="1"/>
  <c r="AF506" i="1" s="1"/>
  <c r="AA512" i="1"/>
  <c r="AB512" i="1" s="1"/>
  <c r="AD512" i="1"/>
  <c r="AF512" i="1" s="1"/>
  <c r="AA520" i="1"/>
  <c r="AC520" i="1"/>
  <c r="AE520" i="1"/>
  <c r="AG520" i="1" s="1"/>
  <c r="AA517" i="1"/>
  <c r="AC517" i="1"/>
  <c r="AE517" i="1"/>
  <c r="AG517" i="1" s="1"/>
  <c r="AA505" i="1"/>
  <c r="AC505" i="1"/>
  <c r="AE505" i="1"/>
  <c r="AG505" i="1" s="1"/>
  <c r="Y497" i="1"/>
  <c r="Z497" i="1" s="1"/>
  <c r="AB497" i="1"/>
  <c r="AD497" i="1" s="1"/>
  <c r="AF497" i="1" s="1"/>
  <c r="AA513" i="1"/>
  <c r="AC513" i="1"/>
  <c r="AE513" i="1"/>
  <c r="AG513" i="1" s="1"/>
  <c r="AD463" i="1"/>
  <c r="AF463" i="1" s="1"/>
  <c r="Z463" i="1"/>
  <c r="AB463" i="1"/>
  <c r="AD514" i="1"/>
  <c r="AF514" i="1"/>
  <c r="AB514" i="1"/>
  <c r="AF502" i="1"/>
  <c r="AB502" i="1"/>
  <c r="AD502" i="1"/>
  <c r="AE495" i="1"/>
  <c r="AG495" i="1" s="1"/>
  <c r="AC495" i="1"/>
  <c r="AA495" i="1"/>
  <c r="AB518" i="1"/>
  <c r="AD518" i="1"/>
  <c r="AF518" i="1"/>
  <c r="AC464" i="1" l="1"/>
  <c r="Z526" i="1"/>
  <c r="AC494" i="1"/>
  <c r="AC461" i="1"/>
  <c r="Z521" i="1"/>
  <c r="AC496" i="1"/>
  <c r="AB462" i="1"/>
  <c r="Z523" i="1"/>
  <c r="Z524" i="1"/>
  <c r="AC524" i="1"/>
  <c r="AE524" i="1" s="1"/>
  <c r="AG524" i="1" s="1"/>
  <c r="AC519" i="1"/>
  <c r="Z525" i="1"/>
  <c r="AD515" i="1"/>
  <c r="AA527" i="1"/>
  <c r="AC516" i="1"/>
  <c r="Z493" i="1"/>
  <c r="AB520" i="1"/>
  <c r="AB517" i="1"/>
  <c r="AB505" i="1"/>
  <c r="AB513" i="1"/>
  <c r="AA463" i="1"/>
  <c r="AC502" i="1"/>
  <c r="AC514" i="1"/>
  <c r="AB495" i="1"/>
  <c r="AC518" i="1"/>
  <c r="T460" i="1" l="1"/>
  <c r="T459" i="1"/>
  <c r="T458" i="1"/>
  <c r="T457" i="1"/>
  <c r="T456" i="1"/>
  <c r="T455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40" i="1"/>
  <c r="T442" i="1"/>
  <c r="T439" i="1"/>
  <c r="T438" i="1"/>
  <c r="T437" i="1"/>
  <c r="Z437" i="1" s="1"/>
  <c r="AA437" i="1" s="1"/>
  <c r="T436" i="1"/>
  <c r="T435" i="1"/>
  <c r="T434" i="1"/>
  <c r="T406" i="1"/>
  <c r="T407" i="1"/>
  <c r="T405" i="1"/>
  <c r="X405" i="1" s="1"/>
  <c r="T404" i="1"/>
  <c r="X404" i="1" s="1"/>
  <c r="T403" i="1"/>
  <c r="X403" i="1" s="1"/>
  <c r="T402" i="1"/>
  <c r="X402" i="1" s="1"/>
  <c r="T401" i="1"/>
  <c r="X401" i="1" s="1"/>
  <c r="T400" i="1"/>
  <c r="X400" i="1" s="1"/>
  <c r="T399" i="1"/>
  <c r="X399" i="1" s="1"/>
  <c r="T394" i="1"/>
  <c r="AA394" i="1" s="1"/>
  <c r="T393" i="1"/>
  <c r="Y393" i="1" s="1"/>
  <c r="T392" i="1"/>
  <c r="AB392" i="1" s="1"/>
  <c r="T391" i="1"/>
  <c r="X391" i="1" s="1"/>
  <c r="T388" i="1"/>
  <c r="X388" i="1" s="1"/>
  <c r="T390" i="1"/>
  <c r="Y390" i="1" s="1"/>
  <c r="T389" i="1"/>
  <c r="AA389" i="1" s="1"/>
  <c r="T387" i="1"/>
  <c r="Z387" i="1" s="1"/>
  <c r="T386" i="1"/>
  <c r="Y386" i="1" s="1"/>
  <c r="T385" i="1"/>
  <c r="AA385" i="1" s="1"/>
  <c r="T384" i="1"/>
  <c r="AA384" i="1" s="1"/>
  <c r="T383" i="1"/>
  <c r="Y383" i="1" s="1"/>
  <c r="T382" i="1"/>
  <c r="Y382" i="1" s="1"/>
  <c r="T381" i="1"/>
  <c r="Z381" i="1" s="1"/>
  <c r="T380" i="1"/>
  <c r="Y380" i="1" s="1"/>
  <c r="T379" i="1"/>
  <c r="X379" i="1" s="1"/>
  <c r="T378" i="1"/>
  <c r="X378" i="1" s="1"/>
  <c r="T377" i="1"/>
  <c r="T376" i="1"/>
  <c r="X376" i="1" s="1"/>
  <c r="T375" i="1"/>
  <c r="X375" i="1" s="1"/>
  <c r="T374" i="1"/>
  <c r="X374" i="1" s="1"/>
  <c r="T373" i="1"/>
  <c r="T372" i="1"/>
  <c r="X372" i="1" s="1"/>
  <c r="T371" i="1"/>
  <c r="X371" i="1" s="1"/>
  <c r="T370" i="1"/>
  <c r="X370" i="1" s="1"/>
  <c r="T369" i="1"/>
  <c r="X369" i="1" s="1"/>
  <c r="T368" i="1"/>
  <c r="X368" i="1" s="1"/>
  <c r="T367" i="1"/>
  <c r="X367" i="1" s="1"/>
  <c r="Y367" i="1" s="1"/>
  <c r="T366" i="1"/>
  <c r="T361" i="1"/>
  <c r="T360" i="1"/>
  <c r="T357" i="1"/>
  <c r="T365" i="1"/>
  <c r="T364" i="1"/>
  <c r="T363" i="1"/>
  <c r="Z363" i="1" s="1"/>
  <c r="AA363" i="1" s="1"/>
  <c r="T362" i="1"/>
  <c r="AA362" i="1" s="1"/>
  <c r="AB362" i="1" s="1"/>
  <c r="T359" i="1"/>
  <c r="AA359" i="1" s="1"/>
  <c r="AB359" i="1" s="1"/>
  <c r="T358" i="1"/>
  <c r="Z358" i="1" s="1"/>
  <c r="T356" i="1"/>
  <c r="W356" i="1" s="1"/>
  <c r="T355" i="1"/>
  <c r="X355" i="1" s="1"/>
  <c r="T354" i="1"/>
  <c r="X354" i="1" s="1"/>
  <c r="T353" i="1"/>
  <c r="X353" i="1" s="1"/>
  <c r="T352" i="1"/>
  <c r="X352" i="1" s="1"/>
  <c r="T351" i="1"/>
  <c r="X351" i="1" s="1"/>
  <c r="T350" i="1"/>
  <c r="X350" i="1" s="1"/>
  <c r="T349" i="1"/>
  <c r="X349" i="1" s="1"/>
  <c r="T348" i="1"/>
  <c r="X348" i="1" s="1"/>
  <c r="T347" i="1"/>
  <c r="X347" i="1" s="1"/>
  <c r="T346" i="1"/>
  <c r="X346" i="1" s="1"/>
  <c r="T345" i="1"/>
  <c r="X345" i="1" s="1"/>
  <c r="T344" i="1"/>
  <c r="T343" i="1"/>
  <c r="T342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AC328" i="1" s="1"/>
  <c r="T327" i="1"/>
  <c r="AA327" i="1" s="1"/>
  <c r="AB327" i="1" s="1"/>
  <c r="T326" i="1"/>
  <c r="T323" i="1"/>
  <c r="T325" i="1"/>
  <c r="Y325" i="1" s="1"/>
  <c r="T324" i="1"/>
  <c r="T320" i="1"/>
  <c r="AA320" i="1" s="1"/>
  <c r="T322" i="1"/>
  <c r="X322" i="1" s="1"/>
  <c r="T321" i="1"/>
  <c r="Z321" i="1" s="1"/>
  <c r="AA321" i="1" s="1"/>
  <c r="T319" i="1"/>
  <c r="T318" i="1"/>
  <c r="T317" i="1"/>
  <c r="T316" i="1"/>
  <c r="AD316" i="1" s="1"/>
  <c r="AE316" i="1" s="1"/>
  <c r="T315" i="1"/>
  <c r="X315" i="1" s="1"/>
  <c r="T314" i="1"/>
  <c r="T313" i="1"/>
  <c r="T312" i="1"/>
  <c r="T311" i="1"/>
  <c r="T310" i="1"/>
  <c r="T309" i="1"/>
  <c r="T308" i="1"/>
  <c r="T307" i="1"/>
  <c r="T306" i="1"/>
  <c r="T304" i="1"/>
  <c r="T305" i="1"/>
  <c r="AA305" i="1" s="1"/>
  <c r="AB305" i="1" s="1"/>
  <c r="Z330" i="1" l="1"/>
  <c r="AB330" i="1"/>
  <c r="AD330" i="1"/>
  <c r="AF330" i="1" s="1"/>
  <c r="AA330" i="1"/>
  <c r="Z446" i="1"/>
  <c r="AD446" i="1"/>
  <c r="AF446" i="1" s="1"/>
  <c r="AB446" i="1"/>
  <c r="AA446" i="1"/>
  <c r="AD434" i="1"/>
  <c r="AF434" i="1" s="1"/>
  <c r="AB434" i="1"/>
  <c r="Z434" i="1"/>
  <c r="AA434" i="1"/>
  <c r="AD455" i="1"/>
  <c r="AF455" i="1" s="1"/>
  <c r="AB455" i="1"/>
  <c r="Z455" i="1"/>
  <c r="AA455" i="1"/>
  <c r="AA366" i="1"/>
  <c r="AC366" i="1" s="1"/>
  <c r="AE366" i="1" s="1"/>
  <c r="AG366" i="1" s="1"/>
  <c r="X366" i="1"/>
  <c r="Y366" i="1" s="1"/>
  <c r="AB453" i="1"/>
  <c r="Z453" i="1"/>
  <c r="AA453" i="1" s="1"/>
  <c r="AD453" i="1"/>
  <c r="AF453" i="1" s="1"/>
  <c r="X307" i="1"/>
  <c r="Y307" i="1" s="1"/>
  <c r="AA307" i="1"/>
  <c r="AC307" i="1" s="1"/>
  <c r="AE307" i="1" s="1"/>
  <c r="AG307" i="1" s="1"/>
  <c r="X312" i="1"/>
  <c r="Y312" i="1" s="1"/>
  <c r="AA312" i="1"/>
  <c r="AC312" i="1" s="1"/>
  <c r="AE312" i="1" s="1"/>
  <c r="AG312" i="1" s="1"/>
  <c r="AB435" i="1"/>
  <c r="Z435" i="1"/>
  <c r="AA435" i="1" s="1"/>
  <c r="AD435" i="1"/>
  <c r="AF435" i="1" s="1"/>
  <c r="Z452" i="1"/>
  <c r="AB452" i="1"/>
  <c r="AA452" i="1" s="1"/>
  <c r="AD452" i="1"/>
  <c r="AF452" i="1" s="1"/>
  <c r="AA358" i="1"/>
  <c r="Z11" i="1"/>
  <c r="X356" i="1"/>
  <c r="W11" i="1"/>
  <c r="AC394" i="1"/>
  <c r="AA10" i="1"/>
  <c r="X373" i="1"/>
  <c r="AC337" i="1"/>
  <c r="AA337" i="1"/>
  <c r="AE337" i="1"/>
  <c r="AG337" i="1" s="1"/>
  <c r="AH334" i="1"/>
  <c r="AF334" i="1"/>
  <c r="AA324" i="1"/>
  <c r="AC324" i="1"/>
  <c r="AE324" i="1"/>
  <c r="AG324" i="1" s="1"/>
  <c r="AA317" i="1"/>
  <c r="AE317" i="1"/>
  <c r="AG317" i="1" s="1"/>
  <c r="AC317" i="1"/>
  <c r="AC340" i="1"/>
  <c r="AE340" i="1"/>
  <c r="AG340" i="1" s="1"/>
  <c r="AA340" i="1"/>
  <c r="AC364" i="1"/>
  <c r="AA364" i="1"/>
  <c r="AE364" i="1"/>
  <c r="AG364" i="1" s="1"/>
  <c r="AD361" i="1"/>
  <c r="AD11" i="1" s="1"/>
  <c r="AF361" i="1"/>
  <c r="AF11" i="1" s="1"/>
  <c r="AB361" i="1"/>
  <c r="AD332" i="1"/>
  <c r="AF332" i="1"/>
  <c r="AE332" i="1" s="1"/>
  <c r="Y311" i="1"/>
  <c r="Z311" i="1" s="1"/>
  <c r="AF438" i="1"/>
  <c r="AE438" i="1" s="1"/>
  <c r="AD438" i="1"/>
  <c r="AD306" i="1"/>
  <c r="AF306" i="1"/>
  <c r="AE306" i="1" s="1"/>
  <c r="AD342" i="1"/>
  <c r="AF342" i="1"/>
  <c r="AB342" i="1"/>
  <c r="AC457" i="1"/>
  <c r="AE457" i="1"/>
  <c r="AG457" i="1"/>
  <c r="AD310" i="1"/>
  <c r="AE310" i="1" s="1"/>
  <c r="AG310" i="1"/>
  <c r="AB365" i="1"/>
  <c r="AC365" i="1" s="1"/>
  <c r="AD459" i="1"/>
  <c r="AF459" i="1"/>
  <c r="AA319" i="1"/>
  <c r="AE319" i="1"/>
  <c r="AG319" i="1" s="1"/>
  <c r="AC319" i="1"/>
  <c r="AB323" i="1"/>
  <c r="AD323" i="1"/>
  <c r="AF323" i="1"/>
  <c r="AG447" i="1"/>
  <c r="AC447" i="1"/>
  <c r="AE447" i="1"/>
  <c r="AE360" i="1"/>
  <c r="AG360" i="1" s="1"/>
  <c r="AA360" i="1"/>
  <c r="AC360" i="1"/>
  <c r="AE339" i="1"/>
  <c r="AG339" i="1" s="1"/>
  <c r="AA339" i="1"/>
  <c r="AC339" i="1"/>
  <c r="AA309" i="1"/>
  <c r="AC309" i="1" s="1"/>
  <c r="AE309" i="1" s="1"/>
  <c r="AG309" i="1" s="1"/>
  <c r="Y309" i="1"/>
  <c r="Y308" i="1"/>
  <c r="Z308" i="1" s="1"/>
  <c r="AB308" i="1"/>
  <c r="AD308" i="1" s="1"/>
  <c r="AF308" i="1" s="1"/>
  <c r="AA357" i="1"/>
  <c r="AE357" i="1"/>
  <c r="AD338" i="1"/>
  <c r="AB338" i="1"/>
  <c r="AF338" i="1"/>
  <c r="AC331" i="1"/>
  <c r="AE331" i="1"/>
  <c r="AG331" i="1" s="1"/>
  <c r="AA331" i="1"/>
  <c r="AF436" i="1"/>
  <c r="AB436" i="1"/>
  <c r="AD436" i="1"/>
  <c r="AC454" i="1"/>
  <c r="AA454" i="1"/>
  <c r="AE454" i="1"/>
  <c r="AG454" i="1" s="1"/>
  <c r="AC440" i="1"/>
  <c r="AE440" i="1"/>
  <c r="AG440" i="1" s="1"/>
  <c r="AA440" i="1"/>
  <c r="AB460" i="1"/>
  <c r="AF460" i="1"/>
  <c r="AD460" i="1"/>
  <c r="AA458" i="1"/>
  <c r="AC458" i="1"/>
  <c r="AE458" i="1"/>
  <c r="AG458" i="1" s="1"/>
  <c r="AE333" i="1"/>
  <c r="AG333" i="1"/>
  <c r="AC333" i="1"/>
  <c r="AD451" i="1"/>
  <c r="AF451" i="1" s="1"/>
  <c r="AA451" i="1"/>
  <c r="AB451" i="1" s="1"/>
  <c r="AC304" i="1"/>
  <c r="AG304" i="1"/>
  <c r="AE304" i="1"/>
  <c r="AE445" i="1"/>
  <c r="AG445" i="1" s="1"/>
  <c r="AA445" i="1"/>
  <c r="AC445" i="1"/>
  <c r="AA448" i="1"/>
  <c r="AC448" i="1"/>
  <c r="AE448" i="1"/>
  <c r="AG448" i="1" s="1"/>
  <c r="AC439" i="1"/>
  <c r="AA439" i="1"/>
  <c r="AE439" i="1"/>
  <c r="AG439" i="1" s="1"/>
  <c r="AA449" i="1"/>
  <c r="AC449" i="1"/>
  <c r="AE449" i="1"/>
  <c r="AG449" i="1" s="1"/>
  <c r="AA444" i="1"/>
  <c r="AC444" i="1"/>
  <c r="AE444" i="1"/>
  <c r="AG444" i="1" s="1"/>
  <c r="AA314" i="1"/>
  <c r="AB314" i="1" s="1"/>
  <c r="AA442" i="1"/>
  <c r="AE442" i="1"/>
  <c r="AG442" i="1" s="1"/>
  <c r="AC442" i="1"/>
  <c r="Z329" i="1"/>
  <c r="AD329" i="1"/>
  <c r="AF329" i="1" s="1"/>
  <c r="AB329" i="1"/>
  <c r="AC313" i="1"/>
  <c r="AE313" i="1"/>
  <c r="AG313" i="1" s="1"/>
  <c r="AA313" i="1"/>
  <c r="AA343" i="1"/>
  <c r="AB343" i="1" s="1"/>
  <c r="AD343" i="1"/>
  <c r="AF343" i="1" s="1"/>
  <c r="AE318" i="1"/>
  <c r="AG318" i="1" s="1"/>
  <c r="AB318" i="1"/>
  <c r="AC318" i="1" s="1"/>
  <c r="AA336" i="1"/>
  <c r="AB336" i="1" s="1"/>
  <c r="AD336" i="1"/>
  <c r="AF336" i="1" s="1"/>
  <c r="AA335" i="1"/>
  <c r="AC335" i="1"/>
  <c r="AE335" i="1"/>
  <c r="AG335" i="1" s="1"/>
  <c r="AC341" i="1"/>
  <c r="AE341" i="1"/>
  <c r="AG341" i="1" s="1"/>
  <c r="AA341" i="1"/>
  <c r="AA315" i="1"/>
  <c r="AC315" i="1" s="1"/>
  <c r="AE315" i="1" s="1"/>
  <c r="AG315" i="1" s="1"/>
  <c r="Y315" i="1"/>
  <c r="Z326" i="1"/>
  <c r="AA326" i="1" s="1"/>
  <c r="AA456" i="1"/>
  <c r="AC456" i="1"/>
  <c r="AE456" i="1"/>
  <c r="AG456" i="1" s="1"/>
  <c r="Z344" i="1"/>
  <c r="AA344" i="1"/>
  <c r="AA450" i="1"/>
  <c r="AC450" i="1"/>
  <c r="AE450" i="1" s="1"/>
  <c r="AG450" i="1" s="1"/>
  <c r="Y450" i="1"/>
  <c r="AD443" i="1"/>
  <c r="AF443" i="1" s="1"/>
  <c r="Z443" i="1"/>
  <c r="AB443" i="1"/>
  <c r="X394" i="1"/>
  <c r="Y394" i="1" s="1"/>
  <c r="Y10" i="1" s="1"/>
  <c r="AB357" i="1" l="1"/>
  <c r="AA11" i="1"/>
  <c r="AG357" i="1"/>
  <c r="AG11" i="1" s="1"/>
  <c r="AE11" i="1"/>
  <c r="AE394" i="1"/>
  <c r="AC10" i="1"/>
  <c r="AG334" i="1"/>
  <c r="AB337" i="1"/>
  <c r="AB317" i="1"/>
  <c r="AC361" i="1"/>
  <c r="AC11" i="1" s="1"/>
  <c r="AB364" i="1"/>
  <c r="AB340" i="1"/>
  <c r="AB324" i="1"/>
  <c r="AC342" i="1"/>
  <c r="AD457" i="1"/>
  <c r="AE459" i="1"/>
  <c r="AB319" i="1"/>
  <c r="AC323" i="1"/>
  <c r="AD447" i="1"/>
  <c r="AB360" i="1"/>
  <c r="AB339" i="1"/>
  <c r="Z309" i="1"/>
  <c r="AC338" i="1"/>
  <c r="AC436" i="1"/>
  <c r="AB331" i="1"/>
  <c r="AB454" i="1"/>
  <c r="AB440" i="1"/>
  <c r="AC460" i="1"/>
  <c r="AB458" i="1"/>
  <c r="AD333" i="1"/>
  <c r="AB445" i="1"/>
  <c r="AD304" i="1"/>
  <c r="AB439" i="1"/>
  <c r="AB442" i="1"/>
  <c r="AB448" i="1"/>
  <c r="AB449" i="1"/>
  <c r="AB444" i="1"/>
  <c r="AA329" i="1"/>
  <c r="AB313" i="1"/>
  <c r="AB341" i="1"/>
  <c r="AB335" i="1"/>
  <c r="AB456" i="1"/>
  <c r="Z450" i="1"/>
  <c r="AA443" i="1"/>
  <c r="T303" i="1"/>
  <c r="T302" i="1"/>
  <c r="T301" i="1"/>
  <c r="T299" i="1"/>
  <c r="T300" i="1"/>
  <c r="T296" i="1"/>
  <c r="T298" i="1"/>
  <c r="T297" i="1"/>
  <c r="T295" i="1"/>
  <c r="T294" i="1"/>
  <c r="T292" i="1"/>
  <c r="T290" i="1"/>
  <c r="T289" i="1"/>
  <c r="AF289" i="1" s="1"/>
  <c r="AG289" i="1" s="1"/>
  <c r="T288" i="1"/>
  <c r="T293" i="1"/>
  <c r="X293" i="1" s="1"/>
  <c r="T274" i="1"/>
  <c r="T285" i="1"/>
  <c r="T283" i="1"/>
  <c r="T284" i="1"/>
  <c r="T281" i="1"/>
  <c r="T280" i="1"/>
  <c r="T277" i="1"/>
  <c r="T278" i="1"/>
  <c r="T276" i="1"/>
  <c r="T275" i="1"/>
  <c r="AD275" i="1" s="1"/>
  <c r="AF275" i="1" s="1"/>
  <c r="T272" i="1"/>
  <c r="AA272" i="1" s="1"/>
  <c r="AB272" i="1" s="1"/>
  <c r="T273" i="1"/>
  <c r="T271" i="1"/>
  <c r="T205" i="1"/>
  <c r="T204" i="1"/>
  <c r="T203" i="1"/>
  <c r="T202" i="1"/>
  <c r="AE202" i="1" s="1"/>
  <c r="AF202" i="1" s="1"/>
  <c r="T201" i="1"/>
  <c r="T200" i="1"/>
  <c r="AA200" i="1" s="1"/>
  <c r="T199" i="1"/>
  <c r="Y199" i="1" s="1"/>
  <c r="T198" i="1"/>
  <c r="T197" i="1"/>
  <c r="AB197" i="1" s="1"/>
  <c r="AC197" i="1" s="1"/>
  <c r="T196" i="1"/>
  <c r="AA196" i="1" s="1"/>
  <c r="AB196" i="1" s="1"/>
  <c r="T195" i="1"/>
  <c r="T194" i="1"/>
  <c r="T193" i="1"/>
  <c r="T192" i="1"/>
  <c r="AB192" i="1" s="1"/>
  <c r="T191" i="1"/>
  <c r="T190" i="1"/>
  <c r="X190" i="1" s="1"/>
  <c r="T189" i="1"/>
  <c r="T188" i="1"/>
  <c r="T187" i="1"/>
  <c r="AA187" i="1" s="1"/>
  <c r="AB187" i="1" s="1"/>
  <c r="T177" i="1"/>
  <c r="T178" i="1"/>
  <c r="T179" i="1"/>
  <c r="Z179" i="1" s="1"/>
  <c r="AA179" i="1" s="1"/>
  <c r="T180" i="1"/>
  <c r="Z180" i="1" s="1"/>
  <c r="T181" i="1"/>
  <c r="T182" i="1"/>
  <c r="T183" i="1"/>
  <c r="Y183" i="1" s="1"/>
  <c r="T184" i="1"/>
  <c r="T185" i="1"/>
  <c r="Z185" i="1" s="1"/>
  <c r="AA185" i="1" s="1"/>
  <c r="T186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AE162" i="1" s="1"/>
  <c r="AF162" i="1" s="1"/>
  <c r="T161" i="1"/>
  <c r="T159" i="1"/>
  <c r="T160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Z61" i="1"/>
  <c r="AB61" i="1" s="1"/>
  <c r="AD61" i="1" s="1"/>
  <c r="AF61" i="1" s="1"/>
  <c r="Y58" i="1"/>
  <c r="AA58" i="1" s="1"/>
  <c r="Z57" i="1"/>
  <c r="AB57" i="1" s="1"/>
  <c r="AD57" i="1" s="1"/>
  <c r="AF57" i="1" s="1"/>
  <c r="Z55" i="1"/>
  <c r="Z54" i="1"/>
  <c r="AA54" i="1" s="1"/>
  <c r="AB54" i="1" s="1"/>
  <c r="AC54" i="1" s="1"/>
  <c r="AD54" i="1" s="1"/>
  <c r="AE54" i="1" s="1"/>
  <c r="AF54" i="1" s="1"/>
  <c r="AG54" i="1" s="1"/>
  <c r="AA51" i="1"/>
  <c r="T49" i="1"/>
  <c r="X49" i="1" s="1"/>
  <c r="W62" i="1"/>
  <c r="X62" i="1" s="1"/>
  <c r="X14" i="1" s="1"/>
  <c r="AA62" i="1"/>
  <c r="AB62" i="1" s="1"/>
  <c r="AC62" i="1" s="1"/>
  <c r="AD62" i="1" s="1"/>
  <c r="AE62" i="1" s="1"/>
  <c r="AF62" i="1" s="1"/>
  <c r="AG62" i="1" s="1"/>
  <c r="Y48" i="1"/>
  <c r="AA48" i="1" s="1"/>
  <c r="AC48" i="1" s="1"/>
  <c r="AE48" i="1" s="1"/>
  <c r="AG48" i="1" s="1"/>
  <c r="Y47" i="1"/>
  <c r="AA47" i="1" s="1"/>
  <c r="AC47" i="1" s="1"/>
  <c r="AE47" i="1" s="1"/>
  <c r="AG47" i="1" s="1"/>
  <c r="AB46" i="1"/>
  <c r="AD46" i="1" s="1"/>
  <c r="AF46" i="1" s="1"/>
  <c r="AC31" i="1"/>
  <c r="AE31" i="1" s="1"/>
  <c r="AG31" i="1" s="1"/>
  <c r="AB30" i="1"/>
  <c r="AD30" i="1" s="1"/>
  <c r="AF30" i="1" s="1"/>
  <c r="AA29" i="1"/>
  <c r="AD32" i="1"/>
  <c r="AF32" i="1" s="1"/>
  <c r="Z33" i="1"/>
  <c r="AD34" i="1"/>
  <c r="AF34" i="1" s="1"/>
  <c r="AB37" i="1"/>
  <c r="AB36" i="1"/>
  <c r="AD36" i="1" s="1"/>
  <c r="AF36" i="1" s="1"/>
  <c r="AB35" i="1"/>
  <c r="AD35" i="1" s="1"/>
  <c r="AF35" i="1" s="1"/>
  <c r="AB40" i="1"/>
  <c r="AD40" i="1" s="1"/>
  <c r="AF40" i="1" s="1"/>
  <c r="AB39" i="1"/>
  <c r="AD39" i="1" s="1"/>
  <c r="AF39" i="1" s="1"/>
  <c r="AB41" i="1"/>
  <c r="AD41" i="1" s="1"/>
  <c r="AF41" i="1" s="1"/>
  <c r="AA42" i="1"/>
  <c r="Y43" i="1"/>
  <c r="T28" i="1"/>
  <c r="Z28" i="1" s="1"/>
  <c r="T27" i="1"/>
  <c r="T26" i="1"/>
  <c r="AB25" i="1"/>
  <c r="AD24" i="1"/>
  <c r="AB23" i="1"/>
  <c r="A23" i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A22" i="1"/>
  <c r="V528" i="1"/>
  <c r="U522" i="1"/>
  <c r="X422" i="1"/>
  <c r="X421" i="1"/>
  <c r="X420" i="1"/>
  <c r="X419" i="1"/>
  <c r="X418" i="1"/>
  <c r="X417" i="1"/>
  <c r="X416" i="1"/>
  <c r="X415" i="1"/>
  <c r="X414" i="1"/>
  <c r="X413" i="1"/>
  <c r="W408" i="1"/>
  <c r="X408" i="1" s="1"/>
  <c r="W407" i="1"/>
  <c r="W406" i="1"/>
  <c r="T398" i="1"/>
  <c r="W396" i="1"/>
  <c r="X396" i="1" s="1"/>
  <c r="W395" i="1"/>
  <c r="W266" i="1"/>
  <c r="T263" i="1"/>
  <c r="T257" i="1"/>
  <c r="Z257" i="1" s="1"/>
  <c r="AA257" i="1" s="1"/>
  <c r="T256" i="1"/>
  <c r="T254" i="1"/>
  <c r="T253" i="1"/>
  <c r="T252" i="1"/>
  <c r="T244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6" i="1"/>
  <c r="X225" i="1"/>
  <c r="X224" i="1"/>
  <c r="X223" i="1"/>
  <c r="X222" i="1"/>
  <c r="X221" i="1"/>
  <c r="X220" i="1"/>
  <c r="X219" i="1"/>
  <c r="X218" i="1"/>
  <c r="X217" i="1"/>
  <c r="X216" i="1"/>
  <c r="Y133" i="1"/>
  <c r="AL129" i="1"/>
  <c r="Z121" i="1"/>
  <c r="Y108" i="1"/>
  <c r="Y100" i="1"/>
  <c r="Y99" i="1"/>
  <c r="T98" i="1"/>
  <c r="T95" i="1"/>
  <c r="Z95" i="1" s="1"/>
  <c r="AB95" i="1" s="1"/>
  <c r="AD95" i="1" s="1"/>
  <c r="AF95" i="1" s="1"/>
  <c r="X92" i="1"/>
  <c r="Y92" i="1" s="1"/>
  <c r="V91" i="1"/>
  <c r="X90" i="1"/>
  <c r="V90" i="1"/>
  <c r="X89" i="1"/>
  <c r="Y89" i="1" s="1"/>
  <c r="Z88" i="1"/>
  <c r="X88" i="1"/>
  <c r="T85" i="1"/>
  <c r="Y81" i="1"/>
  <c r="Y77" i="1"/>
  <c r="AL75" i="1"/>
  <c r="X67" i="1"/>
  <c r="X11" i="1" s="1"/>
  <c r="R67" i="1"/>
  <c r="Q67" i="1"/>
  <c r="V66" i="1"/>
  <c r="V65" i="1"/>
  <c r="V63" i="1"/>
  <c r="V60" i="1"/>
  <c r="T60" i="1"/>
  <c r="Y60" i="1" s="1"/>
  <c r="AA60" i="1" s="1"/>
  <c r="AC60" i="1" s="1"/>
  <c r="AE60" i="1" s="1"/>
  <c r="AG60" i="1" s="1"/>
  <c r="V59" i="1"/>
  <c r="T59" i="1"/>
  <c r="X59" i="1" s="1"/>
  <c r="X57" i="1"/>
  <c r="V57" i="1"/>
  <c r="T56" i="1"/>
  <c r="W56" i="1" s="1"/>
  <c r="X55" i="1"/>
  <c r="X9" i="1" s="1"/>
  <c r="X50" i="1"/>
  <c r="Y50" i="1" s="1"/>
  <c r="Z50" i="1" s="1"/>
  <c r="AA50" i="1" s="1"/>
  <c r="AB50" i="1" s="1"/>
  <c r="AC50" i="1" s="1"/>
  <c r="AD50" i="1" s="1"/>
  <c r="AE50" i="1" s="1"/>
  <c r="AF50" i="1" s="1"/>
  <c r="AG50" i="1" s="1"/>
  <c r="V48" i="1"/>
  <c r="V47" i="1"/>
  <c r="Y46" i="1"/>
  <c r="V43" i="1"/>
  <c r="Z41" i="1"/>
  <c r="AL40" i="1"/>
  <c r="Y39" i="1"/>
  <c r="Y5" i="1" s="1"/>
  <c r="T38" i="1"/>
  <c r="X38" i="1" s="1"/>
  <c r="X5" i="1" s="1"/>
  <c r="X33" i="1"/>
  <c r="V33" i="1"/>
  <c r="X23" i="1"/>
  <c r="W22" i="1"/>
  <c r="AA177" i="1" l="1"/>
  <c r="AC177" i="1" s="1"/>
  <c r="AE177" i="1" s="1"/>
  <c r="AG177" i="1" s="1"/>
  <c r="X177" i="1"/>
  <c r="Y177" i="1" s="1"/>
  <c r="X184" i="1"/>
  <c r="Y184" i="1" s="1"/>
  <c r="AA184" i="1"/>
  <c r="AC184" i="1" s="1"/>
  <c r="AE184" i="1" s="1"/>
  <c r="AG184" i="1" s="1"/>
  <c r="Z278" i="1"/>
  <c r="AB278" i="1"/>
  <c r="AD278" i="1"/>
  <c r="AF278" i="1" s="1"/>
  <c r="AA278" i="1"/>
  <c r="AB292" i="1"/>
  <c r="Z292" i="1"/>
  <c r="AD292" i="1"/>
  <c r="AF292" i="1" s="1"/>
  <c r="AA292" i="1"/>
  <c r="AD146" i="1"/>
  <c r="AF146" i="1" s="1"/>
  <c r="AB146" i="1"/>
  <c r="Z146" i="1"/>
  <c r="AA146" i="1"/>
  <c r="Z274" i="1"/>
  <c r="AB274" i="1"/>
  <c r="AD274" i="1"/>
  <c r="AF274" i="1" s="1"/>
  <c r="AA274" i="1"/>
  <c r="X6" i="1"/>
  <c r="Z148" i="1"/>
  <c r="AD148" i="1"/>
  <c r="AF148" i="1" s="1"/>
  <c r="AB148" i="1"/>
  <c r="AA148" i="1" s="1"/>
  <c r="AD168" i="1"/>
  <c r="AF168" i="1" s="1"/>
  <c r="AB168" i="1"/>
  <c r="Z168" i="1"/>
  <c r="AA168" i="1" s="1"/>
  <c r="AB172" i="1"/>
  <c r="Z172" i="1"/>
  <c r="AD172" i="1"/>
  <c r="AF172" i="1" s="1"/>
  <c r="AA172" i="1"/>
  <c r="AA188" i="1"/>
  <c r="AC188" i="1" s="1"/>
  <c r="AE188" i="1" s="1"/>
  <c r="AG188" i="1" s="1"/>
  <c r="X188" i="1"/>
  <c r="Y188" i="1" s="1"/>
  <c r="AB283" i="1"/>
  <c r="Z283" i="1"/>
  <c r="AA283" i="1" s="1"/>
  <c r="AD283" i="1"/>
  <c r="AF283" i="1" s="1"/>
  <c r="AD296" i="1"/>
  <c r="AF296" i="1" s="1"/>
  <c r="Z296" i="1"/>
  <c r="AA296" i="1" s="1"/>
  <c r="AB296" i="1"/>
  <c r="AD150" i="1"/>
  <c r="AF150" i="1" s="1"/>
  <c r="AB150" i="1"/>
  <c r="Z150" i="1"/>
  <c r="AA150" i="1" s="1"/>
  <c r="X15" i="1"/>
  <c r="AB290" i="1"/>
  <c r="Z290" i="1"/>
  <c r="AD290" i="1"/>
  <c r="AF290" i="1" s="1"/>
  <c r="AA290" i="1"/>
  <c r="AD161" i="1"/>
  <c r="AF161" i="1" s="1"/>
  <c r="AB161" i="1"/>
  <c r="Z161" i="1"/>
  <c r="AA161" i="1"/>
  <c r="Z169" i="1"/>
  <c r="AB169" i="1"/>
  <c r="AD169" i="1"/>
  <c r="AF169" i="1" s="1"/>
  <c r="AA169" i="1"/>
  <c r="AB173" i="1"/>
  <c r="Z173" i="1"/>
  <c r="AD173" i="1"/>
  <c r="AF173" i="1" s="1"/>
  <c r="AA173" i="1"/>
  <c r="X186" i="1"/>
  <c r="Y186" i="1" s="1"/>
  <c r="AA186" i="1"/>
  <c r="AC186" i="1" s="1"/>
  <c r="AE186" i="1" s="1"/>
  <c r="AG186" i="1" s="1"/>
  <c r="X189" i="1"/>
  <c r="Y189" i="1" s="1"/>
  <c r="AA189" i="1"/>
  <c r="AC189" i="1" s="1"/>
  <c r="AE189" i="1" s="1"/>
  <c r="AG189" i="1" s="1"/>
  <c r="AA193" i="1"/>
  <c r="AC193" i="1" s="1"/>
  <c r="AE193" i="1" s="1"/>
  <c r="AG193" i="1" s="1"/>
  <c r="X193" i="1"/>
  <c r="Y193" i="1" s="1"/>
  <c r="X205" i="1"/>
  <c r="Y205" i="1" s="1"/>
  <c r="AA205" i="1"/>
  <c r="AC205" i="1" s="1"/>
  <c r="AE205" i="1" s="1"/>
  <c r="AG205" i="1" s="1"/>
  <c r="Y15" i="1"/>
  <c r="AB51" i="1"/>
  <c r="AA14" i="1"/>
  <c r="X12" i="1"/>
  <c r="AB11" i="1"/>
  <c r="AD37" i="1"/>
  <c r="Y408" i="1"/>
  <c r="X13" i="1"/>
  <c r="W13" i="1"/>
  <c r="AB33" i="1"/>
  <c r="AC58" i="1"/>
  <c r="AE58" i="1" s="1"/>
  <c r="AD25" i="1"/>
  <c r="AF25" i="1" s="1"/>
  <c r="AA43" i="1"/>
  <c r="AC43" i="1" s="1"/>
  <c r="AE43" i="1" s="1"/>
  <c r="AG43" i="1" s="1"/>
  <c r="AF24" i="1"/>
  <c r="Z9" i="1"/>
  <c r="X8" i="1"/>
  <c r="AE10" i="1"/>
  <c r="AG394" i="1"/>
  <c r="AG10" i="1" s="1"/>
  <c r="T1" i="1"/>
  <c r="X395" i="1"/>
  <c r="W6" i="1"/>
  <c r="AF271" i="1"/>
  <c r="AE271" i="1" s="1"/>
  <c r="AD271" i="1"/>
  <c r="AC163" i="1"/>
  <c r="AE163" i="1"/>
  <c r="AG163" i="1" s="1"/>
  <c r="AA163" i="1"/>
  <c r="Y254" i="1"/>
  <c r="Y4" i="1" s="1"/>
  <c r="AA254" i="1"/>
  <c r="AC254" i="1" s="1"/>
  <c r="AE254" i="1" s="1"/>
  <c r="AG254" i="1" s="1"/>
  <c r="AF281" i="1"/>
  <c r="AE281" i="1" s="1"/>
  <c r="AD281" i="1"/>
  <c r="AC42" i="1"/>
  <c r="AE42" i="1" s="1"/>
  <c r="AG42" i="1" s="1"/>
  <c r="AB285" i="1"/>
  <c r="AF285" i="1"/>
  <c r="AD285" i="1"/>
  <c r="Z152" i="1"/>
  <c r="AA152" i="1" s="1"/>
  <c r="AH173" i="1"/>
  <c r="AB263" i="1"/>
  <c r="AD263" i="1"/>
  <c r="AF263" i="1"/>
  <c r="AC156" i="1"/>
  <c r="AG156" i="1"/>
  <c r="AE156" i="1"/>
  <c r="Z85" i="1"/>
  <c r="Z7" i="1" s="1"/>
  <c r="AB85" i="1"/>
  <c r="AD85" i="1" s="1"/>
  <c r="AF85" i="1" s="1"/>
  <c r="X85" i="1"/>
  <c r="X7" i="1" s="1"/>
  <c r="AC198" i="1"/>
  <c r="AE198" i="1"/>
  <c r="AG198" i="1" s="1"/>
  <c r="AA198" i="1"/>
  <c r="AB165" i="1"/>
  <c r="AD165" i="1"/>
  <c r="AF165" i="1"/>
  <c r="AB155" i="1"/>
  <c r="AD155" i="1"/>
  <c r="AF155" i="1"/>
  <c r="AG158" i="1"/>
  <c r="AE158" i="1"/>
  <c r="AC158" i="1"/>
  <c r="AB181" i="1"/>
  <c r="AD181" i="1"/>
  <c r="AF181" i="1"/>
  <c r="AF154" i="1"/>
  <c r="AH154" i="1"/>
  <c r="AC167" i="1"/>
  <c r="AA167" i="1"/>
  <c r="AE167" i="1"/>
  <c r="AG167" i="1" s="1"/>
  <c r="AA301" i="1"/>
  <c r="AE301" i="1"/>
  <c r="AG301" i="1" s="1"/>
  <c r="AC301" i="1"/>
  <c r="AA253" i="1"/>
  <c r="AC253" i="1"/>
  <c r="AE253" i="1"/>
  <c r="AB276" i="1"/>
  <c r="AD276" i="1"/>
  <c r="AF276" i="1"/>
  <c r="AC284" i="1"/>
  <c r="AE284" i="1"/>
  <c r="AG284" i="1" s="1"/>
  <c r="AA284" i="1"/>
  <c r="AE204" i="1"/>
  <c r="AG204" i="1" s="1"/>
  <c r="AA204" i="1"/>
  <c r="AC204" i="1"/>
  <c r="AE160" i="1"/>
  <c r="AG160" i="1" s="1"/>
  <c r="AA160" i="1"/>
  <c r="AC160" i="1"/>
  <c r="AF144" i="1"/>
  <c r="AB144" i="1"/>
  <c r="AD144" i="1"/>
  <c r="AD191" i="1"/>
  <c r="AF191" i="1"/>
  <c r="AB191" i="1"/>
  <c r="AA298" i="1"/>
  <c r="AC298" i="1"/>
  <c r="AE298" i="1"/>
  <c r="AG298" i="1" s="1"/>
  <c r="AC295" i="1"/>
  <c r="AE295" i="1"/>
  <c r="AG295" i="1" s="1"/>
  <c r="AA295" i="1"/>
  <c r="AE153" i="1"/>
  <c r="AG153" i="1" s="1"/>
  <c r="AC153" i="1"/>
  <c r="AA153" i="1"/>
  <c r="AE182" i="1"/>
  <c r="AG182" i="1" s="1"/>
  <c r="AC182" i="1"/>
  <c r="AA182" i="1"/>
  <c r="AB176" i="1"/>
  <c r="AD176" i="1" s="1"/>
  <c r="AF176" i="1" s="1"/>
  <c r="Z176" i="1"/>
  <c r="Y176" i="1" s="1"/>
  <c r="AB280" i="1"/>
  <c r="AC280" i="1" s="1"/>
  <c r="AE280" i="1"/>
  <c r="AG280" i="1" s="1"/>
  <c r="Z175" i="1"/>
  <c r="AB175" i="1"/>
  <c r="AD175" i="1" s="1"/>
  <c r="AF175" i="1" s="1"/>
  <c r="X175" i="1"/>
  <c r="AE302" i="1"/>
  <c r="AG302" i="1" s="1"/>
  <c r="AB302" i="1"/>
  <c r="AC302" i="1" s="1"/>
  <c r="AE203" i="1"/>
  <c r="AG203" i="1" s="1"/>
  <c r="AB203" i="1"/>
  <c r="AC203" i="1" s="1"/>
  <c r="AE178" i="1"/>
  <c r="AB178" i="1"/>
  <c r="AC178" i="1" s="1"/>
  <c r="AC157" i="1"/>
  <c r="AE157" i="1"/>
  <c r="AG157" i="1" s="1"/>
  <c r="AA157" i="1"/>
  <c r="AE277" i="1"/>
  <c r="AG277" i="1" s="1"/>
  <c r="AB277" i="1"/>
  <c r="AC277" i="1" s="1"/>
  <c r="AB159" i="1"/>
  <c r="AC159" i="1" s="1"/>
  <c r="AE159" i="1"/>
  <c r="AG159" i="1" s="1"/>
  <c r="AB143" i="1"/>
  <c r="AD143" i="1"/>
  <c r="AF143" i="1"/>
  <c r="AA151" i="1"/>
  <c r="AB151" i="1" s="1"/>
  <c r="AA244" i="1"/>
  <c r="AE244" i="1"/>
  <c r="AG244" i="1" s="1"/>
  <c r="AC244" i="1"/>
  <c r="AF170" i="1"/>
  <c r="AB170" i="1"/>
  <c r="AD170" i="1"/>
  <c r="AA273" i="1"/>
  <c r="AB273" i="1" s="1"/>
  <c r="AE171" i="1"/>
  <c r="AG171" i="1" s="1"/>
  <c r="AC171" i="1"/>
  <c r="AA171" i="1"/>
  <c r="AF174" i="1"/>
  <c r="AB174" i="1"/>
  <c r="AD174" i="1"/>
  <c r="AE201" i="1"/>
  <c r="AG201" i="1" s="1"/>
  <c r="AA201" i="1"/>
  <c r="AC201" i="1"/>
  <c r="AB147" i="1"/>
  <c r="AD147" i="1"/>
  <c r="AF147" i="1" s="1"/>
  <c r="Z147" i="1"/>
  <c r="AE303" i="1"/>
  <c r="AG303" i="1" s="1"/>
  <c r="AA303" i="1"/>
  <c r="AC303" i="1"/>
  <c r="AA252" i="1"/>
  <c r="AC252" i="1"/>
  <c r="AE252" i="1"/>
  <c r="AG252" i="1" s="1"/>
  <c r="AD299" i="1"/>
  <c r="AF299" i="1"/>
  <c r="AB299" i="1"/>
  <c r="Z195" i="1"/>
  <c r="AA195" i="1" s="1"/>
  <c r="AA288" i="1"/>
  <c r="AB288" i="1" s="1"/>
  <c r="AA300" i="1"/>
  <c r="AC300" i="1"/>
  <c r="AE300" i="1"/>
  <c r="AG300" i="1" s="1"/>
  <c r="W98" i="1"/>
  <c r="W14" i="1" s="1"/>
  <c r="Z98" i="1"/>
  <c r="Z194" i="1"/>
  <c r="AA194" i="1" s="1"/>
  <c r="AC194" i="1"/>
  <c r="AE194" i="1" s="1"/>
  <c r="AG194" i="1" s="1"/>
  <c r="Z149" i="1"/>
  <c r="AD149" i="1"/>
  <c r="AF149" i="1" s="1"/>
  <c r="AB149" i="1"/>
  <c r="AE256" i="1"/>
  <c r="AG256" i="1" s="1"/>
  <c r="AA256" i="1"/>
  <c r="AC256" i="1"/>
  <c r="AA297" i="1"/>
  <c r="AB297" i="1" s="1"/>
  <c r="AD297" i="1"/>
  <c r="AF297" i="1" s="1"/>
  <c r="Z145" i="1"/>
  <c r="X145" i="1"/>
  <c r="Z38" i="1"/>
  <c r="Z5" i="1" s="1"/>
  <c r="AA294" i="1"/>
  <c r="AC294" i="1" s="1"/>
  <c r="AE294" i="1" s="1"/>
  <c r="AG294" i="1" s="1"/>
  <c r="Y294" i="1"/>
  <c r="AB22" i="1"/>
  <c r="AD23" i="1"/>
  <c r="AA28" i="1"/>
  <c r="W398" i="1"/>
  <c r="X398" i="1" s="1"/>
  <c r="Z27" i="1"/>
  <c r="AA27" i="1" s="1"/>
  <c r="Z26" i="1"/>
  <c r="AB26" i="1"/>
  <c r="AD26" i="1"/>
  <c r="AF26" i="1" s="1"/>
  <c r="Z59" i="1"/>
  <c r="AB59" i="1" s="1"/>
  <c r="AD59" i="1" s="1"/>
  <c r="AF59" i="1" s="1"/>
  <c r="AB55" i="1"/>
  <c r="AB9" i="1" s="1"/>
  <c r="AC29" i="1"/>
  <c r="Z49" i="1"/>
  <c r="Y56" i="1"/>
  <c r="AA56" i="1" s="1"/>
  <c r="AC56" i="1" s="1"/>
  <c r="AE56" i="1" s="1"/>
  <c r="AG56" i="1" s="1"/>
  <c r="AB49" i="1"/>
  <c r="AD49" i="1" s="1"/>
  <c r="AF49" i="1" s="1"/>
  <c r="Y246" i="1"/>
  <c r="X246" i="1" s="1"/>
  <c r="T528" i="1"/>
  <c r="Y245" i="1"/>
  <c r="X245" i="1" s="1"/>
  <c r="Y12" i="1" l="1"/>
  <c r="AG178" i="1"/>
  <c r="AG15" i="1" s="1"/>
  <c r="AE15" i="1"/>
  <c r="AF15" i="1"/>
  <c r="AD15" i="1"/>
  <c r="Z15" i="1"/>
  <c r="AC51" i="1"/>
  <c r="AB98" i="1"/>
  <c r="AD98" i="1" s="1"/>
  <c r="AF98" i="1" s="1"/>
  <c r="Z14" i="1"/>
  <c r="AG253" i="1"/>
  <c r="AG12" i="1" s="1"/>
  <c r="AF37" i="1"/>
  <c r="AD12" i="1"/>
  <c r="AA12" i="1"/>
  <c r="Z408" i="1"/>
  <c r="Y13" i="1"/>
  <c r="X3" i="1"/>
  <c r="Z3" i="1"/>
  <c r="AD4" i="1"/>
  <c r="AD33" i="1"/>
  <c r="AF4" i="1"/>
  <c r="AC4" i="1"/>
  <c r="AD7" i="1"/>
  <c r="AB7" i="1"/>
  <c r="W10" i="1"/>
  <c r="W17" i="1" s="1"/>
  <c r="W1" i="1"/>
  <c r="AB6" i="1"/>
  <c r="Y49" i="1"/>
  <c r="Y6" i="1" s="1"/>
  <c r="Z6" i="1"/>
  <c r="AA6" i="1"/>
  <c r="AC22" i="1"/>
  <c r="AC6" i="1" s="1"/>
  <c r="AB163" i="1"/>
  <c r="Z254" i="1"/>
  <c r="Z4" i="1" s="1"/>
  <c r="AC263" i="1"/>
  <c r="AC285" i="1"/>
  <c r="AD156" i="1"/>
  <c r="Y85" i="1"/>
  <c r="Y7" i="1" s="1"/>
  <c r="AC155" i="1"/>
  <c r="AB198" i="1"/>
  <c r="AC165" i="1"/>
  <c r="AD158" i="1"/>
  <c r="AC181" i="1"/>
  <c r="AE3" i="1"/>
  <c r="AG154" i="1"/>
  <c r="AB301" i="1"/>
  <c r="AB167" i="1"/>
  <c r="AB204" i="1"/>
  <c r="AB253" i="1"/>
  <c r="AB160" i="1"/>
  <c r="AC276" i="1"/>
  <c r="AB284" i="1"/>
  <c r="AE12" i="1"/>
  <c r="AC144" i="1"/>
  <c r="AB295" i="1"/>
  <c r="AC191" i="1"/>
  <c r="AB298" i="1"/>
  <c r="AB153" i="1"/>
  <c r="AB182" i="1"/>
  <c r="Y175" i="1"/>
  <c r="AB157" i="1"/>
  <c r="AC170" i="1"/>
  <c r="AB244" i="1"/>
  <c r="AB4" i="1" s="1"/>
  <c r="AC143" i="1"/>
  <c r="AC174" i="1"/>
  <c r="AB171" i="1"/>
  <c r="AA15" i="1"/>
  <c r="AB201" i="1"/>
  <c r="AB303" i="1"/>
  <c r="AA147" i="1"/>
  <c r="AC299" i="1"/>
  <c r="AB252" i="1"/>
  <c r="AB300" i="1"/>
  <c r="AA149" i="1"/>
  <c r="AB256" i="1"/>
  <c r="Z294" i="1"/>
  <c r="Z12" i="1" s="1"/>
  <c r="Y145" i="1"/>
  <c r="AB38" i="1"/>
  <c r="AB5" i="1" s="1"/>
  <c r="AF23" i="1"/>
  <c r="AF7" i="1" s="1"/>
  <c r="AA26" i="1"/>
  <c r="AA4" i="1" s="1"/>
  <c r="AD55" i="1"/>
  <c r="AD9" i="1" s="1"/>
  <c r="AG58" i="1"/>
  <c r="AE29" i="1"/>
  <c r="AE4" i="1" s="1"/>
  <c r="AB15" i="1" l="1"/>
  <c r="AB14" i="1"/>
  <c r="AC12" i="1"/>
  <c r="AC15" i="1"/>
  <c r="AD51" i="1"/>
  <c r="AC14" i="1"/>
  <c r="AB12" i="1"/>
  <c r="AF12" i="1"/>
  <c r="AA408" i="1"/>
  <c r="Z13" i="1"/>
  <c r="Z17" i="1" s="1"/>
  <c r="AB3" i="1"/>
  <c r="AA3" i="1"/>
  <c r="AC3" i="1"/>
  <c r="AD3" i="1"/>
  <c r="AF33" i="1"/>
  <c r="AF3" i="1" s="1"/>
  <c r="Y3" i="1"/>
  <c r="Y17" i="1" s="1"/>
  <c r="AG3" i="1"/>
  <c r="AD22" i="1"/>
  <c r="AD6" i="1" s="1"/>
  <c r="Y1" i="1"/>
  <c r="Z1" i="1"/>
  <c r="Y528" i="1"/>
  <c r="AF55" i="1"/>
  <c r="AF9" i="1" s="1"/>
  <c r="Z528" i="1"/>
  <c r="AD38" i="1"/>
  <c r="AG29" i="1"/>
  <c r="AG4" i="1" s="1"/>
  <c r="AE51" i="1" l="1"/>
  <c r="AD14" i="1"/>
  <c r="AB408" i="1"/>
  <c r="AA13" i="1"/>
  <c r="AA17" i="1" s="1"/>
  <c r="AA528" i="1"/>
  <c r="AA1" i="1"/>
  <c r="AE22" i="1"/>
  <c r="AE6" i="1" s="1"/>
  <c r="AD5" i="1"/>
  <c r="AF38" i="1"/>
  <c r="AF5" i="1" s="1"/>
  <c r="AF51" i="1" l="1"/>
  <c r="AE14" i="1"/>
  <c r="AC408" i="1"/>
  <c r="AB13" i="1"/>
  <c r="AB17" i="1" s="1"/>
  <c r="AB1" i="1"/>
  <c r="AB528" i="1"/>
  <c r="AF22" i="1"/>
  <c r="AF6" i="1" s="1"/>
  <c r="AG51" i="1" l="1"/>
  <c r="AG14" i="1" s="1"/>
  <c r="AF14" i="1"/>
  <c r="AD408" i="1"/>
  <c r="AC13" i="1"/>
  <c r="AC17" i="1" s="1"/>
  <c r="AC528" i="1"/>
  <c r="AC1" i="1"/>
  <c r="AG22" i="1"/>
  <c r="AG6" i="1" s="1"/>
  <c r="W528" i="1"/>
  <c r="X397" i="1"/>
  <c r="X10" i="1" s="1"/>
  <c r="X17" i="1" s="1"/>
  <c r="AE408" i="1" l="1"/>
  <c r="AD13" i="1"/>
  <c r="AD17" i="1" s="1"/>
  <c r="AD1" i="1"/>
  <c r="AD528" i="1"/>
  <c r="X1" i="1"/>
  <c r="X528" i="1"/>
  <c r="AF408" i="1" l="1"/>
  <c r="AE13" i="1"/>
  <c r="AE17" i="1" s="1"/>
  <c r="AE528" i="1"/>
  <c r="AE1" i="1"/>
  <c r="AG408" i="1" l="1"/>
  <c r="AF13" i="1"/>
  <c r="AF17" i="1" s="1"/>
  <c r="AF528" i="1"/>
  <c r="AF1" i="1"/>
  <c r="AG13" i="1" l="1"/>
  <c r="AG17" i="1" s="1"/>
  <c r="AG528" i="1"/>
  <c r="AG1" i="1"/>
</calcChain>
</file>

<file path=xl/comments1.xml><?xml version="1.0" encoding="utf-8"?>
<comments xmlns="http://schemas.openxmlformats.org/spreadsheetml/2006/main">
  <authors>
    <author>sinugo</author>
    <author>Mpeps</author>
  </authors>
  <commentList>
    <comment ref="T46" authorId="0">
      <text>
        <r>
          <rPr>
            <b/>
            <sz val="9"/>
            <color indexed="81"/>
            <rFont val="Tahoma"/>
            <family val="2"/>
          </rPr>
          <t>sinugo:</t>
        </r>
        <r>
          <rPr>
            <sz val="9"/>
            <color indexed="81"/>
            <rFont val="Tahoma"/>
            <family val="2"/>
          </rPr>
          <t xml:space="preserve">
NO BUDGET.IDT TO CONFIRM</t>
        </r>
      </text>
    </comment>
    <comment ref="V47" authorId="0">
      <text>
        <r>
          <rPr>
            <b/>
            <sz val="9"/>
            <color indexed="81"/>
            <rFont val="Tahoma"/>
            <family val="2"/>
          </rPr>
          <t>sinugo:</t>
        </r>
        <r>
          <rPr>
            <sz val="9"/>
            <color indexed="81"/>
            <rFont val="Tahoma"/>
            <family val="2"/>
          </rPr>
          <t xml:space="preserve">
begind scheduel. Non payment. Its a new school IDT</t>
        </r>
      </text>
    </comment>
    <comment ref="V90" authorId="0">
      <text>
        <r>
          <rPr>
            <b/>
            <sz val="9"/>
            <color indexed="81"/>
            <rFont val="Tahoma"/>
            <family val="2"/>
          </rPr>
          <t>sinugo:</t>
        </r>
        <r>
          <rPr>
            <sz val="9"/>
            <color indexed="81"/>
            <rFont val="Tahoma"/>
            <family val="2"/>
          </rPr>
          <t xml:space="preserve">
ready for tender but reprioritize for 2014/15
need to chek 612, what for?
</t>
        </r>
      </text>
    </comment>
    <comment ref="V91" authorId="0">
      <text>
        <r>
          <rPr>
            <b/>
            <sz val="9"/>
            <color indexed="81"/>
            <rFont val="Tahoma"/>
            <family val="2"/>
          </rPr>
          <t>sinugo:</t>
        </r>
        <r>
          <rPr>
            <sz val="9"/>
            <color indexed="81"/>
            <rFont val="Tahoma"/>
            <family val="2"/>
          </rPr>
          <t xml:space="preserve">
planning</t>
        </r>
      </text>
    </comment>
    <comment ref="T97" authorId="0">
      <text>
        <r>
          <rPr>
            <b/>
            <sz val="9"/>
            <color indexed="81"/>
            <rFont val="Tahoma"/>
            <family val="2"/>
          </rPr>
          <t>sinugo:</t>
        </r>
        <r>
          <rPr>
            <sz val="9"/>
            <color indexed="81"/>
            <rFont val="Tahoma"/>
            <family val="2"/>
          </rPr>
          <t xml:space="preserve">
TO BE CONFIRMED</t>
        </r>
      </text>
    </comment>
    <comment ref="C220" authorId="1">
      <text>
        <r>
          <rPr>
            <b/>
            <sz val="9"/>
            <color indexed="81"/>
            <rFont val="Tahoma"/>
            <family val="2"/>
          </rPr>
          <t>Mpeps: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<sst xmlns="http://schemas.openxmlformats.org/spreadsheetml/2006/main" count="6541" uniqueCount="1255">
  <si>
    <t>GRAND TOTAL</t>
  </si>
  <si>
    <t>Substitution of Unsafe Structures</t>
  </si>
  <si>
    <t>New Schools</t>
  </si>
  <si>
    <t>Special Schools</t>
  </si>
  <si>
    <t>Special Projects</t>
  </si>
  <si>
    <t>Boarding Schools</t>
  </si>
  <si>
    <t>Dinaledi Schools</t>
  </si>
  <si>
    <t>Technical Schools</t>
  </si>
  <si>
    <t>Storm Damaged Schools</t>
  </si>
  <si>
    <t>Grade R Schools</t>
  </si>
  <si>
    <t>No.</t>
  </si>
  <si>
    <t>MDoE PROJECT ID No.</t>
  </si>
  <si>
    <t>PROJECT NAME</t>
  </si>
  <si>
    <t>TYPE</t>
  </si>
  <si>
    <t>EMIS</t>
  </si>
  <si>
    <t>FUNDING SOURCE</t>
  </si>
  <si>
    <t>ECONOMIC CLASSIFICATION</t>
  </si>
  <si>
    <t>DISTRICT</t>
  </si>
  <si>
    <t>CIRCUIT</t>
  </si>
  <si>
    <t>MUNICIPALITY</t>
  </si>
  <si>
    <t>COMPREHENSIVE RURAL DEVELOPMENT PROGRAMME</t>
  </si>
  <si>
    <t>PROGRAMMES</t>
  </si>
  <si>
    <t>SUB-PROGRAMME</t>
  </si>
  <si>
    <t>TENDER PROJECT NUMBER</t>
  </si>
  <si>
    <t>PROJECT DESCRIPTION</t>
  </si>
  <si>
    <t>START DATE</t>
  </si>
  <si>
    <t>END DATE</t>
  </si>
  <si>
    <t>COMMITMENT CATEGORY</t>
  </si>
  <si>
    <t>EST PROJECT VALUE</t>
  </si>
  <si>
    <t>MTEF ESTIMATE 2014 / 2015</t>
  </si>
  <si>
    <t>MTEF ESTIMATE 2015 / 2016</t>
  </si>
  <si>
    <t>MTEF ESTIMATE 2016 / 2017</t>
  </si>
  <si>
    <t>MTEF ESTIMATE 2017 / 2018</t>
  </si>
  <si>
    <t>MTEF ESTIMATE 2018 / 2019</t>
  </si>
  <si>
    <t>MTEF ESTIMATE 2019 / 2020</t>
  </si>
  <si>
    <t>MTEF ESTIMATE 2020 / 2021</t>
  </si>
  <si>
    <t>MTEF ESTIMATE 2021 / 2022</t>
  </si>
  <si>
    <t>MTEF ESTIMATE 2022 / 2023</t>
  </si>
  <si>
    <t>MTEF ESTIMATE 2023 / 2024</t>
  </si>
  <si>
    <t>MTEF ESTIMATE 2024/ 2025</t>
  </si>
  <si>
    <t>PROJECT CLASSIFICATION</t>
  </si>
  <si>
    <t>PAYMENT CLASSIFICATION</t>
  </si>
  <si>
    <t>R0LL OVER BUDGET</t>
  </si>
  <si>
    <t>Prev Expenditure</t>
  </si>
  <si>
    <t>ALL/00/001/11-12-ES</t>
  </si>
  <si>
    <t>Temporary Accomodation 
(Mobile Classrooms) ex Abacus</t>
  </si>
  <si>
    <t>All</t>
  </si>
  <si>
    <t>Equitable Share (ES)</t>
  </si>
  <si>
    <t>Capital Assets</t>
  </si>
  <si>
    <t>New &amp; Replacement Schools</t>
  </si>
  <si>
    <t>Public Ordinary Schools</t>
  </si>
  <si>
    <t>Movable Classrooms</t>
  </si>
  <si>
    <t>A</t>
  </si>
  <si>
    <t>TBA</t>
  </si>
  <si>
    <t>GSD/18/001/13-14-EIG</t>
  </si>
  <si>
    <t>Ezakheni Boarding Phase 2</t>
  </si>
  <si>
    <t>BS</t>
  </si>
  <si>
    <t>Gert Sibande</t>
  </si>
  <si>
    <t>Wakkerstroom</t>
  </si>
  <si>
    <t>Mkhondo</t>
  </si>
  <si>
    <t>CRDP</t>
  </si>
  <si>
    <t>Upgrades &amp; Additions</t>
  </si>
  <si>
    <t>CRDP: Construction of Grade R Centres and Phase 2 Scope</t>
  </si>
  <si>
    <t>EHL/09/001/14-15-EIG</t>
  </si>
  <si>
    <t>Fish Mahlalela</t>
  </si>
  <si>
    <t>P</t>
  </si>
  <si>
    <t>New</t>
  </si>
  <si>
    <t>Education Infrastructure Grant (EIG)</t>
  </si>
  <si>
    <t>Ehlanzeni</t>
  </si>
  <si>
    <t>Nkomazi East</t>
  </si>
  <si>
    <t>Nkomazi</t>
  </si>
  <si>
    <t>CRDP - Planning and Design: Construction of a Grade R Centre, 16 Classrooms, Administration Block, Library, Computer Centre, School Hall, 24 Toilets ,Fence, Electricity, Water, Kitchen, Ramps and Rails, 3 sports grounds and car park.</t>
  </si>
  <si>
    <t>Huttington</t>
  </si>
  <si>
    <t>S</t>
  </si>
  <si>
    <t>Bohlabela</t>
  </si>
  <si>
    <t>Bushbuckridge</t>
  </si>
  <si>
    <t>CRDP - Planning and Design: Construction of 15 classrooms, administration block, laboratory, library, computer centre, school hall. 22 toilets, fence, electricity, water, kitchen, ramps ans rails, 3 sports grounds, and car park.</t>
  </si>
  <si>
    <t>BOH/05/001/16-17-EIG</t>
  </si>
  <si>
    <t>JB Khoza</t>
  </si>
  <si>
    <t>Dwarsloop</t>
  </si>
  <si>
    <t>CRDP - Construct 14 Classrooms, Administartion block, library, computer centre, school hall, 22 toilets, kitchen, ramps and rails, fence, electricity, water, 3 sports grounds and car park.</t>
  </si>
  <si>
    <t>EHL/02/001/12-13-EIG</t>
  </si>
  <si>
    <t>Ebuhleni (Phase 2)</t>
  </si>
  <si>
    <t>Insikazi</t>
  </si>
  <si>
    <t>Mbombela</t>
  </si>
  <si>
    <t>PW/508/07/MP</t>
  </si>
  <si>
    <t>Construct 16 Classrooms, Administration block, Library, Computer Centre, School Hall, 24Toilets, Fence, Electricity,Water, Kitchen, Ramps and Rails</t>
  </si>
  <si>
    <t>B</t>
  </si>
  <si>
    <t>EHL/03/001/14-16-EIG</t>
  </si>
  <si>
    <t>Langeloop</t>
  </si>
  <si>
    <t>Khulangwane</t>
  </si>
  <si>
    <t>Planning and Design: Construct 28 Classrooms, Administration block, laboratory, library, computer centre, School Hall, 40 Toilets, Fence, Electricity, Water, Kitchen, ramps + rails, 3 Sports Grounds and Car Park.</t>
  </si>
  <si>
    <t>EHL/07/001/14-16-EIG</t>
  </si>
  <si>
    <t>Planning and Design: Construct 24 Classrooms, Administration block, library, computer centre, School Hall, 36 Toilets, Fence, Electricity, Water, Kitchen, ramps + rails, 3 Sports Grounds and Car Park.</t>
  </si>
  <si>
    <t>NKA/12/001/12-13-EIG</t>
  </si>
  <si>
    <t>Middelburg</t>
  </si>
  <si>
    <t>C</t>
  </si>
  <si>
    <t>Nkangala</t>
  </si>
  <si>
    <t>Middelburg 2</t>
  </si>
  <si>
    <t>Steve Tshwete</t>
  </si>
  <si>
    <t>Substitution of unsafe structures</t>
  </si>
  <si>
    <t>PWRT/1495/10/MP</t>
  </si>
  <si>
    <t>Demolish 39 classrooms and construct 39 classrooms.</t>
  </si>
  <si>
    <t>EHL/10/001/14-16-EIG</t>
  </si>
  <si>
    <t>MJ Lushaba</t>
  </si>
  <si>
    <t>Nkomazi West</t>
  </si>
  <si>
    <t>CRDP - Planning and Design: Construction of 20 classrooms, administration block, laboratory, library, computer center, school hall, 30 toilets, fence, electricity, water, kitchen, 3 sports grounds and car park.</t>
  </si>
  <si>
    <t>EHL/10/002/14-16-EIG</t>
  </si>
  <si>
    <t>Mmoyila</t>
  </si>
  <si>
    <t>CRDP - Planning and Design: Construction of 28 classrooms, administration block, laboratory, library, computer centre, school hall. 42toilets, fence, electricity, water, kitchen, ramps / rails, 3sports grounds and car park.</t>
  </si>
  <si>
    <t>EHL/07/001/16-17-EIG</t>
  </si>
  <si>
    <t>Msholozi</t>
  </si>
  <si>
    <t>CRDP - Planning and Design: Construction of Grade R centre, 20 Classrooms, Administration block, library, computer centre, School Hall, 30 Toilets, Fence, Electricity, Water, Kitchen, ramps +rails, 3 Sports Grounds and Car Park.</t>
  </si>
  <si>
    <t>GSD/16/001/16-17-EIG</t>
  </si>
  <si>
    <t>Nyandeni</t>
  </si>
  <si>
    <t>Stanwest</t>
  </si>
  <si>
    <t>Lekwa</t>
  </si>
  <si>
    <t>Upgrades and Additions</t>
  </si>
  <si>
    <t>Planning and Design: Renovations to 22 classrooms, administration block and toilets.  Construction of library, computer centre, fence, electricity, water, kitchen, ramps / rails, 3 sports grounds and car park.</t>
  </si>
  <si>
    <t>GSD/10/001/13-14-EIG</t>
  </si>
  <si>
    <t>Osizweni</t>
  </si>
  <si>
    <t>SP</t>
  </si>
  <si>
    <t>Highveld Ridge East</t>
  </si>
  <si>
    <t>Govan Mbeki</t>
  </si>
  <si>
    <t>Construction of 8 classrooms, administration block, school hall, 4 workshops, media centre, fence, electricity and water supply.</t>
  </si>
  <si>
    <t>EHL/07/001/12-13-EIG</t>
  </si>
  <si>
    <t>School for the Deaf</t>
  </si>
  <si>
    <t>-</t>
  </si>
  <si>
    <t>All buildings to be sound proof.  Construction of 30 classrooms with supporting facilities, ablution block with 15 toilets, administration block with a staff room for 40 educators, boardroom for 30 people, multi purpose hall with supporting facilities including fitness centre, laboratory, library,  e-learning centre, 6 workshops, 3 therapy rooms with offices, counselling room, office for professional nurse with dispensary,  4 sickrooms and 3 toilets inclusive of a toilet for persons with disability, audiology room, art theater, covered walkways, fence, electricity, water, dining hall, car park, garages, hostel cluster with supporting facilities, 2 guest rooms and flats, 6 sports grounds and swimming pool with 2 cloak rooms.</t>
  </si>
  <si>
    <t>EHL/09/001/15-16-EIG</t>
  </si>
  <si>
    <t>Silulu</t>
  </si>
  <si>
    <t>crdp - Planning and Design: Construct 28 Classrooms, Administration block, laboratory, library, computer centre, School Hall, 40 Toilets, Fence, Electricity, Water, Kitchen, ramps + rails, 3 Sports Grounds and Car Park.</t>
  </si>
  <si>
    <t>EHL/07/003/14-16-EIG</t>
  </si>
  <si>
    <t>Tekwane North</t>
  </si>
  <si>
    <t>Planning and Design: Construct 24 Classrooms, Administration block, laboratory, library, computer centre, School Hall, 30 Toilets, Fence, Electricity, Water, Kitchen, ramps + rails, 3 Sports Grounds and Car Park.</t>
  </si>
  <si>
    <t>EHL/07/002/12-13-EIG</t>
  </si>
  <si>
    <t>Tekwane South</t>
  </si>
  <si>
    <t>PW/514/07/MP</t>
  </si>
  <si>
    <t>Construct 24 Classrooms, Administration block, laboratory, library, computer centre, School Hall, 30 Toilets, Fence, Electricity, Water, Kitchen, ramps + rails, 3 Sports Grounds and Car Park.</t>
  </si>
  <si>
    <t>GSD/14/001/12-13-EIG</t>
  </si>
  <si>
    <t>Ubuhle Buzile</t>
  </si>
  <si>
    <t>Piet Retief</t>
  </si>
  <si>
    <t>PWRT/1780/11/MP</t>
  </si>
  <si>
    <t>CRDP: Construction of 28 classrooms, administration block, laboratory, library, computer centre, School Hall, 40Toilets, Fence, Electricity, Watre, Kitchen, ramps / rails, 3 Sports Grounds &amp; Car Park.</t>
  </si>
  <si>
    <t>NKA/07/001/16-17-EIG</t>
  </si>
  <si>
    <t>Vezikgono</t>
  </si>
  <si>
    <t>KwaMhlanga North East</t>
  </si>
  <si>
    <t>Thembisile Hani</t>
  </si>
  <si>
    <t>Planning and Design: Construct 24 Classroomss, Administration block, library, computer centre, School Hall, 36 Toilets, Fence, Elelctricity, Water, Kitchen, ramps +rails, 3 Sports Grounds and Car Park.</t>
  </si>
  <si>
    <t>EHL/15/001/14-15-EIG</t>
  </si>
  <si>
    <t>White River</t>
  </si>
  <si>
    <t>Planning and Design: Construct 28 Classroomss, Administration block, laboratory, library, computer centre, School Hall, 40 Toilets, Fence, Elelctricity, Water, Kitchen, ramps +rails, 3 Sports Grounds and Car Park.</t>
  </si>
  <si>
    <t>GSD/14/004/14-15-EIG</t>
  </si>
  <si>
    <t>Berbice (Phase 2)</t>
  </si>
  <si>
    <t>Planning and Design: Grade R Centre,  small administration block, computer centre, fence, electrical work, ramps and rails.</t>
  </si>
  <si>
    <t>GSD/08/001/12-13-EIG</t>
  </si>
  <si>
    <t>Netherlands Park [Wesselton]</t>
  </si>
  <si>
    <t>Ermelo 1</t>
  </si>
  <si>
    <t>Msukaligwa</t>
  </si>
  <si>
    <t>PWRT/1439/10/MP</t>
  </si>
  <si>
    <t>Construct 28 Classrooms, Administration block, laboratory, library, computer centre, School Hall, 40 Toilets, Fence, Electricity, Water, Kitchen, ramps + rails, 3 Sports Grounds and Car Park.</t>
  </si>
  <si>
    <t>NKA/02/001/12-13-EIG</t>
  </si>
  <si>
    <t>New Coronation [Klarinet]</t>
  </si>
  <si>
    <t>Emalahleni 2</t>
  </si>
  <si>
    <t>Emalahleni</t>
  </si>
  <si>
    <t>PWRT/1728/11/MP</t>
  </si>
  <si>
    <t>NKA/10/001/12-13-EIG</t>
  </si>
  <si>
    <t>Ramantsho</t>
  </si>
  <si>
    <t>Marapyane</t>
  </si>
  <si>
    <t>Dr JS Moroka</t>
  </si>
  <si>
    <t xml:space="preserve">CRDP - Special Projects: MEDT. Substitution of buildings: 5classroom, administration block, library, computer centre and kitchen. </t>
  </si>
  <si>
    <t>Education Facilities Management System [EFMS]</t>
  </si>
  <si>
    <t>Maintenance &amp; Repairs</t>
  </si>
  <si>
    <t>Infrastructure Management</t>
  </si>
  <si>
    <t>Ndebele College</t>
  </si>
  <si>
    <t>TT</t>
  </si>
  <si>
    <t>Maintenance</t>
  </si>
  <si>
    <t>Programme Management Unit</t>
  </si>
  <si>
    <t>DORA Compensation</t>
  </si>
  <si>
    <t>Current Paymens</t>
  </si>
  <si>
    <t>Goods &amp; Services</t>
  </si>
  <si>
    <t>Conditional Grants</t>
  </si>
  <si>
    <t>Infrastructure Equipment</t>
  </si>
  <si>
    <t>Infrastructure Functionality Management : Supply of furniture to completed facilities</t>
  </si>
  <si>
    <t>GSD/10/001/12-13-EIG</t>
  </si>
  <si>
    <t>Highveld Comprehensive</t>
  </si>
  <si>
    <t>Tec</t>
  </si>
  <si>
    <t>MST - Technical Recapitalisation</t>
  </si>
  <si>
    <t>Albert Luthuli</t>
  </si>
  <si>
    <t>PWRT/1750/11/MP</t>
  </si>
  <si>
    <t>CRDP: Construction of  1 new workshop and refurbishment of 1 workshops.</t>
  </si>
  <si>
    <t>MPA-RFP 105/10</t>
  </si>
  <si>
    <t>Acorns To Oaks Comprehensive (addition to current scope)</t>
  </si>
  <si>
    <t>Bohlabela [Ehlanzeni]</t>
  </si>
  <si>
    <t>Greenvalley</t>
  </si>
  <si>
    <t>009/BOH/S/2010-2011-EIG</t>
  </si>
  <si>
    <t>CRDP: Construction of 18 Classrooms, Administration block, Laboratory, Media Centre, Computer Centre, School Hall, Electricity, Fence, Water, 5 Toilets Blocks</t>
  </si>
  <si>
    <t>BOH/11/001/13-15-EIG</t>
  </si>
  <si>
    <t>Mbhandule</t>
  </si>
  <si>
    <t>Mkhuhlu</t>
  </si>
  <si>
    <t>PWRT/1314/10/MP</t>
  </si>
  <si>
    <t>CRDP: Phase 1 - Construction of 8 classrooms, administration block, fencing, guard house, ablution block, water &amp; electricity.
Phase 2 - Construction of 20 classroom, laboratory, library, computer centre, school hall, kitchen, ablution blocks and sports grounds.</t>
  </si>
  <si>
    <t>BOH/13/001/12-13-EIG</t>
  </si>
  <si>
    <t>Sabeka</t>
  </si>
  <si>
    <t>Thulamahashe</t>
  </si>
  <si>
    <t>PW/413/07/MP</t>
  </si>
  <si>
    <t>CRDP: Construction of 12 classrooms, administration block, library, computer centre, kitchen, 3 sports grounds and car park on a new site.</t>
  </si>
  <si>
    <t>BOH/02/001/12-13-EIG</t>
  </si>
  <si>
    <t>Chueu</t>
  </si>
  <si>
    <t>Arthurseat</t>
  </si>
  <si>
    <t>PWRT/1301/10/MP</t>
  </si>
  <si>
    <t>CRDP: Construction of 10 classrooms, administration block, 15 toilets, fence, library, Grade R Centre with 4 toilets and fence, 3 sports grounds and car park.</t>
  </si>
  <si>
    <t>NKA/15/001/13-14-EIG</t>
  </si>
  <si>
    <t>Seabe</t>
  </si>
  <si>
    <t>Nokaneng</t>
  </si>
  <si>
    <t>PWRT/1741/12/MP</t>
  </si>
  <si>
    <t>CRDP: Construction of 10 classrooms, administration block,laboratory, library, fence, electricity, water, 16 toilets, kitchen, 3 sports grounds and car park on a new site.</t>
  </si>
  <si>
    <t>EHA/14/001/13-14-EIG</t>
  </si>
  <si>
    <t>Hazyview</t>
  </si>
  <si>
    <t>White Hazy</t>
  </si>
  <si>
    <t xml:space="preserve">Construction of 1 workshop and renovations and refurbishment to 3 other workshops. </t>
  </si>
  <si>
    <t>GSD/14/001/13-14-EIG</t>
  </si>
  <si>
    <t>Grade R Centres</t>
  </si>
  <si>
    <t>Early Childhood Development</t>
  </si>
  <si>
    <t>CRDP: Construction of a Grade R Center with toilets and fence.</t>
  </si>
  <si>
    <t>BOH/08/003/13-14-EIG</t>
  </si>
  <si>
    <t>Mugena</t>
  </si>
  <si>
    <t>MST - Dinaledi Grant</t>
  </si>
  <si>
    <t>Manyeleti</t>
  </si>
  <si>
    <t>CRDP: Construction of a laboratory.</t>
  </si>
  <si>
    <t>GSD/18/002/13-14-EIG</t>
  </si>
  <si>
    <t>Daggakraal</t>
  </si>
  <si>
    <t>GSD/01/001/13-14-EIG</t>
  </si>
  <si>
    <t>Esibusisweni</t>
  </si>
  <si>
    <t>Amsterdam</t>
  </si>
  <si>
    <t>GSD/14/002/13-14-EIG</t>
  </si>
  <si>
    <t>Kemp Siding</t>
  </si>
  <si>
    <t>BOH/08/002/13-14-EIG</t>
  </si>
  <si>
    <t>Matikinya</t>
  </si>
  <si>
    <t>BOH/08/004/13-14-EIG</t>
  </si>
  <si>
    <t>Nwa Macingele</t>
  </si>
  <si>
    <t>NKA/05/002/13-14-EIG</t>
  </si>
  <si>
    <t>Sinetjhudu</t>
  </si>
  <si>
    <t>Kwaggafontein East</t>
  </si>
  <si>
    <t>GSD/18/004/13-14-EIG</t>
  </si>
  <si>
    <t>Sizenzele</t>
  </si>
  <si>
    <t>NKA/05/003/13-14-EIG</t>
  </si>
  <si>
    <t>Somlingo</t>
  </si>
  <si>
    <t>BOH/11/001/14-16-EIG</t>
  </si>
  <si>
    <t>Chayaza</t>
  </si>
  <si>
    <t>CRDP - Planning and Design: Construction of 28 Classrooms, administration block, laboratory, library, computer centre, 42 toilets, Scholl Hall, Electricity, Water, 3 Sports Grounds &amp; Car Park.</t>
  </si>
  <si>
    <t>EHL/11/001/15-17-EIG</t>
  </si>
  <si>
    <t>Chief Fana Dlamini</t>
  </si>
  <si>
    <t>Nkululeko</t>
  </si>
  <si>
    <t>Planning and Design: Construction of 24 Classrooms, administration block, laboratory, library, computer centre, 30 toilets, School Hall, Elelctricity, Water, 3 Sports Grounds &amp; Car Park.</t>
  </si>
  <si>
    <t>EHL/01/001-13-15-EIG</t>
  </si>
  <si>
    <t>Emjindini</t>
  </si>
  <si>
    <t>Barberton</t>
  </si>
  <si>
    <t>Umjindi</t>
  </si>
  <si>
    <t>Planning and Design: Construction of 7 classrooms,  10 toilets, school hall, kitchen, ramps and rails, 3 sports grounds and car park.</t>
  </si>
  <si>
    <t>BOH/13/001-13-15-EIG</t>
  </si>
  <si>
    <t>Eric Nxumalo</t>
  </si>
  <si>
    <t>Rehabilitation, Renovation &amp; Refurbishment</t>
  </si>
  <si>
    <t>CRDP: Planning and Design: Refurbishment of workshops to comply with safety standards.</t>
  </si>
  <si>
    <t>GSD/17/001/13-14-EIG</t>
  </si>
  <si>
    <t>Hlelimfundo</t>
  </si>
  <si>
    <t>Volksrust</t>
  </si>
  <si>
    <t xml:space="preserve">CRDP: Planning and Design of 6 classrooms, laboratory, library, computer centre, upgrade electricity, ramps and rails, kitchen, school hall, 3 sports grounds and car park. </t>
  </si>
  <si>
    <t>EHL/03/002/13-15-EIG</t>
  </si>
  <si>
    <t>Ilanga [Bosfontein]</t>
  </si>
  <si>
    <t>CRDP - Planning and Design: Construction of 12 classrooms, administration block, laboratory, library, computer centre, school hall, 18 toilets, fence, electricity, water, kitchen, ramps and rails, 3 sports ground and car park.</t>
  </si>
  <si>
    <t>NKA/10/001/13-16-EIG</t>
  </si>
  <si>
    <t>Lehlabile</t>
  </si>
  <si>
    <t>CRDP: Planning and Design: Construction of administration block, computer centre, kitchen, laboratory, 12 toilets, School Hall, upgrade electricity, 3 Sports Grounds and Car Park and renovations of 16 classrooms.</t>
  </si>
  <si>
    <t>GSD/17/002/13-14-EIG</t>
  </si>
  <si>
    <t>Louwra</t>
  </si>
  <si>
    <t>Supply of electricity and renovation of a house in the school yard for conversion to an administration block or kitchen and storeroom and fence.</t>
  </si>
  <si>
    <t>GSD/18/001/13-15-EIG</t>
  </si>
  <si>
    <t>Nalithuba</t>
  </si>
  <si>
    <t>Planning and Design: Construction of school hall, library, computer centre,  kitchen, laboratory, sports grounds and car park.</t>
  </si>
  <si>
    <t>BOH/05/001/14-16-EIG</t>
  </si>
  <si>
    <t>Ndlamakhosi</t>
  </si>
  <si>
    <t>CRDP: Planning and Design - Construction of 2 classrooms, laboratory, library, computer centre, 4 toilets, electricity, ramps and rails,  3 sports grounds and car park. Substitution of 10 pit toilets.</t>
  </si>
  <si>
    <t>Seme</t>
  </si>
  <si>
    <t>CRDP - Planning and Design: Construction of a computer centre, kitchen, ramps and rails,  upgrade of electricity,  school hall and laboratory.</t>
  </si>
  <si>
    <t>EHL/10/001/13-15-EIG</t>
  </si>
  <si>
    <t>Shayaza</t>
  </si>
  <si>
    <t>CRDP: Planning and Design: Addition of 10 classrooms, Library, Computer Centre, School Hall, 16 toilets, Fence, Kitchen, 3 Sports Grounds, Car Park and renovation of 18 Classrooms</t>
  </si>
  <si>
    <t>EHL/03/001/13-14-EIG</t>
  </si>
  <si>
    <t>Shongwe Boarding School</t>
  </si>
  <si>
    <t>CRDP: Construction of a Grade R Center with toilets and fence, addition of hostels and upgrading of existing hostels and toilets.</t>
  </si>
  <si>
    <t>NKA/09/001/13-15-EIG</t>
  </si>
  <si>
    <t>Hlalakahle</t>
  </si>
  <si>
    <t>Libangeni</t>
  </si>
  <si>
    <t>CRDP - Planning and Design: Construction of administration block, computer centre, School Hall, kitchen, laboratory, 12 toilets, 3 Sports Grounds and Car Park and renovation of 16 classrooms.</t>
  </si>
  <si>
    <t>NKA/11/001/13-14-EIG</t>
  </si>
  <si>
    <t>Hoërskool Middelburg</t>
  </si>
  <si>
    <t>Middelburg 1</t>
  </si>
  <si>
    <t>Refurbishment and Renovations</t>
  </si>
  <si>
    <t>Completion of the renovations of the school.</t>
  </si>
  <si>
    <t>Term Contractor</t>
  </si>
  <si>
    <t>Mehlobomvu</t>
  </si>
  <si>
    <t>CRDP - Planning and Design: Renovation of 16 Classrooms.  Construction of additional 4 classrooms and administration block, laboratory, library, computer centre, school hall, kitchen, 3 sports grounds and car park.</t>
  </si>
  <si>
    <t>NKA/08/002/14-15-EIG</t>
  </si>
  <si>
    <t>Mkhanyo</t>
  </si>
  <si>
    <t>KwaMhlanga South West</t>
  </si>
  <si>
    <t>CRDP - Planning and Design: Construction of a Grade R centre, 8 classrooms, library, computer centre, fence and kitchen.</t>
  </si>
  <si>
    <t>BOH/04/002/13-14-EIG</t>
  </si>
  <si>
    <t>Moses Mnisi</t>
  </si>
  <si>
    <t>Cottondale</t>
  </si>
  <si>
    <t xml:space="preserve">CRDP - Planning and Design: Substitution of unsafe 28 Crms, administration block, laboratory, library, computer centre, School Hall, kitchen, 3 Sports Grounds and Car Park. </t>
  </si>
  <si>
    <t>BOH/05/001/13-14-EIG</t>
  </si>
  <si>
    <t>Mpisana</t>
  </si>
  <si>
    <t>CRDP: Demolish existing classrooms and construct 12 classrooms and 18 toilets, administration block, library, kitchen, school hall, computer centre, ramps and rails, 3 sports grounds and car park.</t>
  </si>
  <si>
    <t>BOH/06/001/14-15-EIG</t>
  </si>
  <si>
    <t>Mugidi</t>
  </si>
  <si>
    <t>CRDP - Planning and Design: Demolition of 10 classrooms and the construction of 10 classrooms, administration block, library, kitchen, computer centre, ramps and rails, 3 sports grounds and car park.</t>
  </si>
  <si>
    <t>Thathakusa</t>
  </si>
  <si>
    <t>Planning, design and construction: 2 Classrooms</t>
  </si>
  <si>
    <t>Esithembisweni</t>
  </si>
  <si>
    <t>Dundonald</t>
  </si>
  <si>
    <t>NKA/16/001/14-16-EIG</t>
  </si>
  <si>
    <t>Sibonelo</t>
  </si>
  <si>
    <t>Siyabuswa</t>
  </si>
  <si>
    <t>CRDP - Planning and Design: Replace 10 classrooms and renovations of 5 classrooms.  Construction of an administration block, library, computer centre, kitchen, ramps and rails, 3 sports grounds and car park.</t>
  </si>
  <si>
    <t>EHL/08/001/14-15-EIG</t>
  </si>
  <si>
    <t>Tenteleni</t>
  </si>
  <si>
    <t>Mgwenya</t>
  </si>
  <si>
    <t>Phase 1 - Construction of a Grade R Centre with toilets and fence, kitchen and library (by Education)
Multi-purpose centre (COGTA)
Phase 2 - Administration block and upgrade of sports facilities.</t>
  </si>
  <si>
    <t>NKA/16/001/15-16-EIG</t>
  </si>
  <si>
    <t>Thabana</t>
  </si>
  <si>
    <t>P*</t>
  </si>
  <si>
    <t>CRDP - Planning and Design: Renovation of 2 classrooms and the substitution of 3 classrooms and 10 toilets.  Addition of a scaled down administration block, kitchen, computer centre, ramps and rails, 2 sports grounds, car park and library.</t>
  </si>
  <si>
    <t>BOH/08/001/13-14-EIG</t>
  </si>
  <si>
    <t>Welverdiend</t>
  </si>
  <si>
    <t>CRDP: Planning and Design - Construction of a Grade R Centre, fence and toilets, 10 classrooms, administration block, library, computer centre, kitchen, 30 toilets, ramps and rails, 3 sports grounds and car park.</t>
  </si>
  <si>
    <t>2015/06/31</t>
  </si>
  <si>
    <t>Ehlanzeni and other District Office</t>
  </si>
  <si>
    <t>CIR</t>
  </si>
  <si>
    <t>N/A</t>
  </si>
  <si>
    <t>Refurbishment, maintenance and repairs to 4 district offices.</t>
  </si>
  <si>
    <t>NKA/12/001/15-17-EIG</t>
  </si>
  <si>
    <t>Aerorand</t>
  </si>
  <si>
    <t>Planning and Design: Construction of a Grade R Centre, 24 Classrooms, administration block, library, computer centre, 36 toilets, fence, electricity, water, school hall, kitchen, 3 sports grounds and car park.</t>
  </si>
  <si>
    <t>EHL/08/001/14-16-EIG</t>
  </si>
  <si>
    <t>Mtfophi (Daantjie)</t>
  </si>
  <si>
    <t>Planning and Design: Construction of a Grade R centre, 24classrooms, administration block, library, computer centre, scholl hall. 36toilets, fence, electricity, water, kitchen, ramps &amp; rails, 3 sports grounds &amp; car park.</t>
  </si>
  <si>
    <t>EHL/07/002/15-16-EIG</t>
  </si>
  <si>
    <t>Yinhlelentfo</t>
  </si>
  <si>
    <t>Construction of a Grade R Centre, 16classroom, administration block, library, computer centre, School Hall, 24Toilets, Fence, Electricity, Watre, Kitchen, ramps / rails, 3 Sports Grounds &amp; Car Park.</t>
  </si>
  <si>
    <t>GSD/03/002/16-17-EIG</t>
  </si>
  <si>
    <t>Balfour</t>
  </si>
  <si>
    <t>Dipaleseng</t>
  </si>
  <si>
    <t>CRDP - Planning and Design: Construction of 10 classrooms, administration block, library, kitchen, ramps and rails, 15 toilets and the renovations to 14 classrooms, computer centre,  14 toilets, sports grounds and car park.</t>
  </si>
  <si>
    <t>Emalahleni 1</t>
  </si>
  <si>
    <t>EHL/03/002/14-15-EIG</t>
  </si>
  <si>
    <t>Bukhosibetfu</t>
  </si>
  <si>
    <t>Planning and Design: Renovations of 19 classrooms and the construction of 5 classrooms, library, computer centre,  kitchen, ramps and rails, 8 toilets, palisade fence and a skills centre for learners with disability.</t>
  </si>
  <si>
    <t>EHL/10/001/16-17-EIG</t>
  </si>
  <si>
    <t>Chief Makunyula</t>
  </si>
  <si>
    <t>CRDP - Planning and Design: Construction 2 Grade R Centres with toilets and fence, 8 classrooms, administration block, library, laboratory, 24 toilets, computer centre, kitchen, ramps and rails, 15 toilets, 3 sports grounds, car park and the renovations to 16 classrooms.</t>
  </si>
  <si>
    <t>NKA/03/002/16-17-EIG</t>
  </si>
  <si>
    <t>Dunbar</t>
  </si>
  <si>
    <t>Planning and Design: Construction of 14 classrooms, administration block, library, computer centre, kitchen, 22 toilets, ramps and rails, 3 sports grounds and car park.  Renovations to 9 existing classrooms and 12 toilets.</t>
  </si>
  <si>
    <t>NKA/03/001/16-17-EIG</t>
  </si>
  <si>
    <t>Hlangu-Phala</t>
  </si>
  <si>
    <t>Construction of library, computer centre, upgrade electricity, ramps and rails, kitchen, school hall, 3 sports grounds and car park.  Renovations to 25 classrooms and administration block.</t>
  </si>
  <si>
    <t>GSD/04/001-16-17-EIG</t>
  </si>
  <si>
    <t>Ikhwezi</t>
  </si>
  <si>
    <t>Bethal</t>
  </si>
  <si>
    <t>Jackie Manana</t>
  </si>
  <si>
    <t>EHL/09/001/16-17-EIG</t>
  </si>
  <si>
    <t>Kamaqhekeza</t>
  </si>
  <si>
    <t>CRDP - Planning and Design: Construction of 8 classrooms, library, computer centre, kitchen, school hall, upgrade electricity, ramps and rails, 20 toilets, 3 sports grounds and car park. Renovation to 16 classrooms and administration block</t>
  </si>
  <si>
    <t>EHL/09/005-16-17-EIG</t>
  </si>
  <si>
    <t>Khula</t>
  </si>
  <si>
    <t>CRDP - Planning and Design: Construction of 7 classrooms, library, laboratory, school hall, computer centre, kitchen, ramps and rails, 20 toilets, 3 sports grounds, car park and the renovations to 21 classrooms and 10 toilets.</t>
  </si>
  <si>
    <t>GSD/13/001/15-16-EIG</t>
  </si>
  <si>
    <t>Khuphukani</t>
  </si>
  <si>
    <t>Mpuluzi</t>
  </si>
  <si>
    <t>Planning and Design: Construction of a library, computer centre, kitchen, ramps and rails, 3 sports grounds and car park.  Renovations to 16 existing classrooms and administration block.</t>
  </si>
  <si>
    <t>EHL/10/001-16-17-EIG</t>
  </si>
  <si>
    <t>Kwalodakada</t>
  </si>
  <si>
    <t>CRDP - Planning and Design: Construction 2 Grade R Centres with toilets and fence, 4 classrooms, administration block, library, computer centre, kitchen, upgrade electricity, ramps and rails, 15 toilets, 3 sports grounds, car park and the renovations to 12 classrooms and 14 toilets.</t>
  </si>
  <si>
    <t>EHL/03/001/14-15-EIG</t>
  </si>
  <si>
    <t>Magogeni#</t>
  </si>
  <si>
    <t>CRDP - Planning and Design: Renovations of 20 classrooms, administration block, Home Economics Centre and substitution of 4 unsafe structures.</t>
  </si>
  <si>
    <t>BOH/03/001/16-17-EIG</t>
  </si>
  <si>
    <t>Makata</t>
  </si>
  <si>
    <t>Casteel</t>
  </si>
  <si>
    <t>CRDP: Planning and Design - Construction of an administration block, laboratory, library, school hall, 16 toilets, kitchen, ramps and rails, upgrade of electricity, 3 sports grounds and car park.  Renovations to 11 classrooms.</t>
  </si>
  <si>
    <t>NKA/14/001/16-17-EIG</t>
  </si>
  <si>
    <t>Maloka</t>
  </si>
  <si>
    <t>Mmametlhake</t>
  </si>
  <si>
    <t>CRDP - Planning and Design: Construction of a Grade R Centre, administration block, library, computer centre, kitchen, 10 toilets, electricity, water, fence, 2 sports grounds, car park,  ramps and rails and the renovation of 6 classrooms.</t>
  </si>
  <si>
    <t>NKA/15/001/14-15-EIG</t>
  </si>
  <si>
    <t>Malontone</t>
  </si>
  <si>
    <t>NKA/14/002/16-17-EIG</t>
  </si>
  <si>
    <t>Mapala</t>
  </si>
  <si>
    <t>Planning and Design: Construction of 5 classrooms, administration block, laboratory, library, school hall, 20 toilets, kitchen, ramps and rails, 3 sports grounds and car park.  Renovations to 14 classrooms.</t>
  </si>
  <si>
    <t>EHL/09/004-16-17-EIG</t>
  </si>
  <si>
    <t>Maqhekeza</t>
  </si>
  <si>
    <t>Masizakhe</t>
  </si>
  <si>
    <t>Tweefontein South</t>
  </si>
  <si>
    <t>BOH/12/001/15-16-EIG</t>
  </si>
  <si>
    <t>Mathule</t>
  </si>
  <si>
    <t>Shatale</t>
  </si>
  <si>
    <t>CRDP: Planning and Design - Construction of 2 Grade R Centers with toilets and fence and 6 classrooms, administration block, library, computer centre, 10 toilets, kitchen, and car park.  Substitute current pit toilets with 20 Enviroloo toilets.</t>
  </si>
  <si>
    <t>EHL/04/001/16-17-EIG</t>
  </si>
  <si>
    <t>Mbangwane</t>
  </si>
  <si>
    <t>Lubombo</t>
  </si>
  <si>
    <t xml:space="preserve">CRDP - Planning and Design: Construction of 2 Grade R Centres with toilets and fence, </t>
  </si>
  <si>
    <t>Mdladla</t>
  </si>
  <si>
    <t>CRDP - Planning and Design: Construction 2 Grade R Centres with toiltes and fence, 9 classrooms, library, computer centre, 36 toilets, kitchen, ramps and rails, 3 sports grounds, car park and the renovations to 15 classrooms.</t>
  </si>
  <si>
    <t>EHL/09/002/16-17-EIG</t>
  </si>
  <si>
    <t>Mjokwane</t>
  </si>
  <si>
    <t>CRDP - Planning and Design: Construction of 3 classrooms, 30 toilets, kitchen, upgrade electricity and the renovations to 25 classrooms, laboratory, library, computer centre, upgrade electricity, ramps and rails, 20 toilets, 3 sports grounds and car park. Renovation to 21 classrooms, school hall and administration block</t>
  </si>
  <si>
    <t>GSD/03/001/16-17-EIG</t>
  </si>
  <si>
    <t>Mlamlankunzi</t>
  </si>
  <si>
    <t>CRDP - Planning and Design: Construction of a kitchen, and the renovations to 23 classrooms, library, computer centre, ramps and rails, 45 toilets, 3 sports grounds and car park.</t>
  </si>
  <si>
    <t>BOH/03/001/14-16-EIG</t>
  </si>
  <si>
    <t>Mothaileng Mashego</t>
  </si>
  <si>
    <t>CRDP: Planning and Design - Construction of 2 Grade R Centres, construction of 8 Classrooms, administration block, library, computer centre, kitchen, 12 Toilets, ramps and rails, 2 sports grounds and car park.</t>
  </si>
  <si>
    <t>BOH/09/001/14-15-EIG</t>
  </si>
  <si>
    <t>Nwa Mahumana</t>
  </si>
  <si>
    <t>Marite</t>
  </si>
  <si>
    <t>CRDP - Planning and Design: Demolition of 3 classrooms and the construction of 3 classrooms, administration block, library, computer centre, 18 toilets, kitchen, ramps and rails, 3 sports grounds and car park.</t>
  </si>
  <si>
    <t>EHL/12/001-16-17-EIG</t>
  </si>
  <si>
    <t>Panorama</t>
  </si>
  <si>
    <t>Sabie</t>
  </si>
  <si>
    <t>Thaba Chueu</t>
  </si>
  <si>
    <t>Planning and Design: Construction of 2 classrooms, ramps and rails, sports grounds and car park and renovations to an administration block, laboratory, library, computer centre, kitchen.</t>
  </si>
  <si>
    <t>BOH/04/001/14-15-EIG</t>
  </si>
  <si>
    <t>Panyana</t>
  </si>
  <si>
    <t>GSD/17/002/14-15-EIG</t>
  </si>
  <si>
    <t>Perdekop Agricultural</t>
  </si>
  <si>
    <t>Planning and Design: Renovation of 6 classrooms, administration block, library and the construction of a laboratory, ramps and rails, 2 sports grounds and car park.</t>
  </si>
  <si>
    <t>EHL/12/002-16-17-EIG</t>
  </si>
  <si>
    <t>Pilgrims Rest</t>
  </si>
  <si>
    <t>CRDP - Planning and Design: Demolition of 8 classrooms, kitchen and the Construction of 5 classrooms, a kitchen,  computer centre.  Renovations to administration block.</t>
  </si>
  <si>
    <t>EHL/09/003-16-17-EIG</t>
  </si>
  <si>
    <t>Sekusile</t>
  </si>
  <si>
    <t>NKA/10/002/14-15-EIG</t>
  </si>
  <si>
    <t>Seruane</t>
  </si>
  <si>
    <t>CRDP - Planning and Design: Renovations of 14 classrooms and administration block and the construction of a laboratory, library, computer centre, school hall, kitchen and 3 sports grounds.</t>
  </si>
  <si>
    <t>NKA/10/003/13-15-EIG</t>
  </si>
  <si>
    <t>Sibongile</t>
  </si>
  <si>
    <t>CRDP: Planning and Design: Renovations of 8 classrooms and alterations to cater for the Circuit Office.</t>
  </si>
  <si>
    <t>GSD/02/001-16-17-EIG</t>
  </si>
  <si>
    <t>Siyeta</t>
  </si>
  <si>
    <t>Badplaas</t>
  </si>
  <si>
    <t>CRDP: Construction of a Grade R Center with toilets and fence, library, computer centre, 24 toilets, kitchen, ramps and rails, 3 sports grounds and car park.  Renovations to 16 classrooms and administration block.</t>
  </si>
  <si>
    <t>GSD/06/001/14-15-EIG</t>
  </si>
  <si>
    <t>Zinikeleni</t>
  </si>
  <si>
    <t>Carolina</t>
  </si>
  <si>
    <t>CRDP: Construction of 2 workshops and refurbishment of 2 workshops to comply with safety standards.</t>
  </si>
  <si>
    <t>BOH/01/001/15-16-EIG</t>
  </si>
  <si>
    <t>Daniye</t>
  </si>
  <si>
    <t>Agincourt</t>
  </si>
  <si>
    <t>CRDP - Planning and Design: Renovation of 5 classrooms and the substitution of 5 classrooms and 18 toilets.  Addition of an administration block, kitchen, computer centre, ramps and rails, 3 sports grounds, car park and library.</t>
  </si>
  <si>
    <t>EHA/10/001-16-17-EIG</t>
  </si>
  <si>
    <t>DD Mabuza</t>
  </si>
  <si>
    <t>CRDP: Construct of 4 new Workshops.</t>
  </si>
  <si>
    <t>NKA/15/001/16-17-EIG</t>
  </si>
  <si>
    <t>CRDP - Planning and Design: Demolition of 14 classrooms and the construction of 14 classrooms, library, computer centre, kitchen, 22 toilets, school hall, 3 sports grounds and car park. Renovation to the existing administration block.</t>
  </si>
  <si>
    <t>BOH/14/001/15-16-EIG</t>
  </si>
  <si>
    <t>Dyondzekani</t>
  </si>
  <si>
    <t>Ximhungwe</t>
  </si>
  <si>
    <t>CRDP - Planning and Design: Demolition of 13 classrooms and the construction of 18 classrooms, administration block, library, computer centre, kitchen, 28 toilets, school hall, 3 sports grounds and car park.</t>
  </si>
  <si>
    <t>BOH/13/001/15-16-EIG</t>
  </si>
  <si>
    <t>Godide</t>
  </si>
  <si>
    <t>CRDP - Planning and Design: Demolition of 12 classrooms and the construction 10 classrooms, laboratory, library, computer centre, school hall, kitchen, ramps and rails,  Renovate existing administration block.</t>
  </si>
  <si>
    <t>BOH/05/001/14-15-EIG</t>
  </si>
  <si>
    <t>Kufakwezwe</t>
  </si>
  <si>
    <t>S*</t>
  </si>
  <si>
    <t>GSD/08/001/14-15-EIG</t>
  </si>
  <si>
    <t>Lungelo (Phase 2)</t>
  </si>
  <si>
    <t>Planning and Design: Replace 5 classrooms and the renovations to 4 classrooms and the construction of a Grade R Centre, library, computer centre, ramps and rails, 2 sports grounds and car park.</t>
  </si>
  <si>
    <t>BOH/01/002/15-16-EIG</t>
  </si>
  <si>
    <t>Manyakatana</t>
  </si>
  <si>
    <t>CRDP: Planning and Design - Substitution of unsafe structures and the construction of a Grade R Centre with toilets and fence,  15 classrooms, administration block, library, computer centre, school hall, 22 toilets, kitchen, ramps and rails, upgrade electricity, 3 sports grounds and car park.</t>
  </si>
  <si>
    <t>BOH/05/001/13-16-EIG</t>
  </si>
  <si>
    <t>Masana</t>
  </si>
  <si>
    <t>CRDP - Planning and Design: Construction of 15 classrooms, laboratory, library, computer centre, school hall, 22 toilets, kitchen, ablution blocks, 3 sports grounds and car park.  Renovations to 10 classrooms and an administration block.</t>
  </si>
  <si>
    <t>BOH/01/003/16-17</t>
  </si>
  <si>
    <t>Mathibela</t>
  </si>
  <si>
    <t>Lehukwe</t>
  </si>
  <si>
    <t>CRDP - Planning and Design: Construction of 2 classrooms, administration block, laboratory, library, computer centre, school hall, kitchen, 28 toilets,  upgrade the electricity, ramps and rails 3 sports grounds and car park.  Renovations to 16 classrooms.</t>
  </si>
  <si>
    <t>BOH/03/001/15-16-EIG</t>
  </si>
  <si>
    <t>Matlushe</t>
  </si>
  <si>
    <t>CRDP: Construction of 2 Grade R Centres, administration block, library, computer centre, 20 toilets, upgrade of electricity, ramps and rails, 3 sports grounds and car park. Renovations to 13 existing classrooms.</t>
  </si>
  <si>
    <t>NKA/02/001/15-16-EIG</t>
  </si>
  <si>
    <t>Mmagobana</t>
  </si>
  <si>
    <t>C*</t>
  </si>
  <si>
    <t>Planing and Design: Substitution of 7 unsafe structures and construction of Grade R  Centre Centre, 4t and F, administration block, library, computer centre, kitchen, 28 toilets, 3 Sports Grounds and Car Park. Renovations of 7 classrooms.</t>
  </si>
  <si>
    <t>NKA/12/001/14-15-EIG</t>
  </si>
  <si>
    <t>Mphephethe</t>
  </si>
  <si>
    <t>Planning and Design: Substitution of unsafe 14 Crms and construct a cc, kitchen, Grade R Centre, 4T and F.</t>
  </si>
  <si>
    <t>Mpisi</t>
  </si>
  <si>
    <t>BOH/14/002/14-16-EIG</t>
  </si>
  <si>
    <t>Njonjela</t>
  </si>
  <si>
    <t>NKA/15/002/16-17-EIG</t>
  </si>
  <si>
    <t>Pungutsha</t>
  </si>
  <si>
    <t>CRDP: Planning and Design - Construction of a computer centre and renovations to 16 classrooms, administration block laboratory, library, ramps and rails and upgrading of 3 sports grounds.</t>
  </si>
  <si>
    <t>BOH/13/002/14-16-EIG</t>
  </si>
  <si>
    <t>CRDP - Planning and Design: Demolition of 12 classrooms and the construction 12 classrooms, administration block, library, computer centre, school hall, kitchen, ramps and rails, 3 sports grounds and car park.</t>
  </si>
  <si>
    <t>GSD/18/002/15-17-EIG</t>
  </si>
  <si>
    <t>Uthaka</t>
  </si>
  <si>
    <t>CRDP - Planning and Design: Construction of 13 classrooms,  computer centre, kitchen, 20 toilets, school hall, 3 sports grounds and car park. Fitting of shelves and counter in the library and necessary shelves and gas tubes in the laboratory.</t>
  </si>
  <si>
    <t>GSD/18/001/15-16-EIG</t>
  </si>
  <si>
    <t>Vukubone</t>
  </si>
  <si>
    <t>CRDP - Planning and Design: Demolition of 15 classrooms and the construction of 15 classrooms, administration block, library, computer centre, kitchen, 36 toilets, school hall, 3 sports grounds and car park.</t>
  </si>
  <si>
    <t>Badlangaye</t>
  </si>
  <si>
    <t>Maviljan</t>
  </si>
  <si>
    <t>Planning and Design: Replacement of condemn structures (ex Storm Damage Schools)</t>
  </si>
  <si>
    <t>Bantomu</t>
  </si>
  <si>
    <t>Bhekimfundo</t>
  </si>
  <si>
    <t>Buyisonto</t>
  </si>
  <si>
    <t>Ezrom</t>
  </si>
  <si>
    <t>Halemela</t>
  </si>
  <si>
    <t>Hlulani</t>
  </si>
  <si>
    <t>Homuzeya</t>
  </si>
  <si>
    <t>Letsamaile</t>
  </si>
  <si>
    <t>Londhindha</t>
  </si>
  <si>
    <t>Madille</t>
  </si>
  <si>
    <t>Madukulushe</t>
  </si>
  <si>
    <t>Magolane</t>
  </si>
  <si>
    <t>Makhosana Manzini</t>
  </si>
  <si>
    <t>Makorompane</t>
  </si>
  <si>
    <t>Malengeza</t>
  </si>
  <si>
    <t>Mapaleni</t>
  </si>
  <si>
    <t>Matlalong</t>
  </si>
  <si>
    <t>Matlolane</t>
  </si>
  <si>
    <t>Mbatini</t>
  </si>
  <si>
    <t>Mkhumbini</t>
  </si>
  <si>
    <t>Morage</t>
  </si>
  <si>
    <t>Morithing</t>
  </si>
  <si>
    <t>Relane</t>
  </si>
  <si>
    <t>Sebosekgolo sa mapulane</t>
  </si>
  <si>
    <t>Sihlekisi</t>
  </si>
  <si>
    <t>Tfolinhlanhla</t>
  </si>
  <si>
    <t>Dlomodlomo</t>
  </si>
  <si>
    <t>Letabogiye</t>
  </si>
  <si>
    <t>4  Classrroms, Adminstration, Lab, Lib, Computer Room, Multi-Media Room, Music Room, Home Economic, Technical/Workshop, Multi Purpose Center, School Hall, 12 Toilets, Fence, Electricity, Water, Kitchen, Ramp&amp;Rails, Sport Field LRG, Sport Field SML</t>
  </si>
  <si>
    <t xml:space="preserve">Ekuphakameni Primary </t>
  </si>
  <si>
    <t xml:space="preserve">Nkangala </t>
  </si>
  <si>
    <t>Duvha Primary</t>
  </si>
  <si>
    <t>eMalahleni 3</t>
  </si>
  <si>
    <t>eMalahleni</t>
  </si>
  <si>
    <t xml:space="preserve">Laerskool Onverwacht </t>
  </si>
  <si>
    <t xml:space="preserve">eMalahleni </t>
  </si>
  <si>
    <t xml:space="preserve">Demolition of 14 asbestos structures and construction of 14 classrooms. Refurbishment of other existing structures. </t>
  </si>
  <si>
    <t xml:space="preserve">Laerskool Ellof </t>
  </si>
  <si>
    <t xml:space="preserve">Victor Khanye </t>
  </si>
  <si>
    <t xml:space="preserve">Demolition of  5 asbestos classrooms , Construction of 5 classrooms ,  Grade R Centre , administration block ,  completion of an existing School Hall and refurbishment of &amp; renovation of 13 classrooms. </t>
  </si>
  <si>
    <t xml:space="preserve">Mokebe Secondary </t>
  </si>
  <si>
    <t>Weltevrede</t>
  </si>
  <si>
    <t xml:space="preserve">Dr JS Moroka </t>
  </si>
  <si>
    <t xml:space="preserve"> CRDP. Demolition of existing structures and Construction of  12 Classrooms, administration block, library, computer centre, 18 toilets, fence, electricity, water, school hall, kitchen, 3 sports grounds and car park.</t>
  </si>
  <si>
    <t xml:space="preserve">Witbank High </t>
  </si>
  <si>
    <t xml:space="preserve"> </t>
  </si>
  <si>
    <t xml:space="preserve">Demolition of 6 asbestos classrooms and construction of 6 classrooms. Refurbishment and renovation  of existing 26 classrooms , 1 administration block, 5 special centres , 1 library , 1 school hall  and 45  toilets. </t>
  </si>
  <si>
    <t xml:space="preserve">J Mdaka </t>
  </si>
  <si>
    <t>eMalahleni 2</t>
  </si>
  <si>
    <t xml:space="preserve">CRDP. Construction of administration block , library ,Fence laboratory , kitchen, 3 Sports Grounds ,  Car Park and renovation of 16 classrooms.  </t>
  </si>
  <si>
    <t xml:space="preserve">CRDP. Demolition of 5 classrooms and construction of 5 classrooms ,  Grade R Centre , Administration block , Kitchen , Computer Centre , Car Park , 3 Sports Grounds and renovation of 16 classrooms. </t>
  </si>
  <si>
    <t>Amon Nkosi</t>
  </si>
  <si>
    <t>Fakazi</t>
  </si>
  <si>
    <t>16 Classrooms, Administration block</t>
  </si>
  <si>
    <t>Laerskool BTN</t>
  </si>
  <si>
    <t>MC Zitha</t>
  </si>
  <si>
    <t>Numbi</t>
  </si>
  <si>
    <t>4 Classrooms</t>
  </si>
  <si>
    <t>Thanda</t>
  </si>
  <si>
    <t>Construction of 16 Classrooms, Administration block, Laboratory, Library, Computer Centre,Multi-Media Centre, Music Room, Home Economic, Technical/Workshops, Multi-Purpose Center, School Hall, Kitchen, Elelctricity,Water, 24 Toilets,Ramps &amp; Rails, Fence, 1 Sport Field SML, 1 Sport Field LRG, Parking, Guard House</t>
  </si>
  <si>
    <t>Shishila</t>
  </si>
  <si>
    <t>Sikhulile</t>
  </si>
  <si>
    <t>Administration Block</t>
  </si>
  <si>
    <t>Buyani</t>
  </si>
  <si>
    <t>Malelane</t>
  </si>
  <si>
    <t>12 Classrooms, Administration block, 20 Toilets</t>
  </si>
  <si>
    <t>p</t>
  </si>
  <si>
    <t>Ermelo</t>
  </si>
  <si>
    <t>12 Classrooms, 10 Toilets,Fence, 21 REN, Guard house</t>
  </si>
  <si>
    <t>Caroline</t>
  </si>
  <si>
    <t>1 Grade R</t>
  </si>
  <si>
    <t>Sakhisizwe Primary</t>
  </si>
  <si>
    <t>Violet Jiyane Secondary</t>
  </si>
  <si>
    <t>Thuto-thebe</t>
  </si>
  <si>
    <t>Simunye</t>
  </si>
  <si>
    <t>8 Classrooms, Admin Block,10 Toilets</t>
  </si>
  <si>
    <t>Makhosonke</t>
  </si>
  <si>
    <t>Ermelo 2</t>
  </si>
  <si>
    <t>Isu Elihle</t>
  </si>
  <si>
    <t>5 Classrooms</t>
  </si>
  <si>
    <t>MST Academy (Witbank)</t>
  </si>
  <si>
    <t>Refurbishment to existing buildings and conversion of existing offices to 2 lecture rooms, 4 technology centre, administration offices, toilets per MST Specifications</t>
  </si>
  <si>
    <t>Pelonolo Special</t>
  </si>
  <si>
    <t>Joseph Mathebula</t>
  </si>
  <si>
    <t>CRDP: Repairs to roof structure undermined by termites and general maintenance</t>
  </si>
  <si>
    <t>Final Account - Backlog</t>
  </si>
  <si>
    <t>Final Accounts</t>
  </si>
  <si>
    <t>Reconciliation and payment of outstanding final accounts (prev. financial years)</t>
  </si>
  <si>
    <t>D</t>
  </si>
  <si>
    <t>Other Circuits (Mmamethlake, Nokaneng)</t>
  </si>
  <si>
    <t>Planning and Design: Refurbishment and Renovations</t>
  </si>
  <si>
    <t>Valencia</t>
  </si>
  <si>
    <t>3 Classrooms</t>
  </si>
  <si>
    <t>L/S Laeveld</t>
  </si>
  <si>
    <t>Matsulu</t>
  </si>
  <si>
    <t>16 Classrooms, Administration block, 9 Toilets</t>
  </si>
  <si>
    <t>Mbombo</t>
  </si>
  <si>
    <t>Mtfonjeni</t>
  </si>
  <si>
    <t>12 Classrooms</t>
  </si>
  <si>
    <t>Magogeni</t>
  </si>
  <si>
    <t xml:space="preserve">5 Classrooms </t>
  </si>
  <si>
    <t>Schoemansdal</t>
  </si>
  <si>
    <t>12 Classrooms, Fence</t>
  </si>
  <si>
    <t>Lundanda</t>
  </si>
  <si>
    <t>White Hazy  1</t>
  </si>
  <si>
    <t>12 Toilets</t>
  </si>
  <si>
    <t>Phola</t>
  </si>
  <si>
    <t>White Hazy  2</t>
  </si>
  <si>
    <t>Mambane</t>
  </si>
  <si>
    <t>Thembeka</t>
  </si>
  <si>
    <t xml:space="preserve">23 Classrooms </t>
  </si>
  <si>
    <t>Hoyi</t>
  </si>
  <si>
    <t>Evimbilanga</t>
  </si>
  <si>
    <t>10 Classrooms, Administration block, Computer Centre, Library,  School Hall, 28 Toilets, Fence, Water, Kitchen, Ramp &amp; rail, Large Sport Field &amp; parking</t>
  </si>
  <si>
    <t>Mpumelelo</t>
  </si>
  <si>
    <t>Ndlaphu</t>
  </si>
  <si>
    <t>24 Classrooms</t>
  </si>
  <si>
    <t>Sindzawonye</t>
  </si>
  <si>
    <t xml:space="preserve">4 Classrooms </t>
  </si>
  <si>
    <t xml:space="preserve">Klipspringer </t>
  </si>
  <si>
    <t xml:space="preserve">Emjindini </t>
  </si>
  <si>
    <t xml:space="preserve">Planning and Design: Construction 4 toilets </t>
  </si>
  <si>
    <t>H/S Barberton</t>
  </si>
  <si>
    <t xml:space="preserve">Planning and Design: Construction 11 toilets, fence &amp; supply water </t>
  </si>
  <si>
    <t>Kwa-Jelusa</t>
  </si>
  <si>
    <t>Planning and Design: Construction of Kitchen</t>
  </si>
  <si>
    <t>Planning and Design: Construction 10 classrooms, Administration Block, Laboratory, library, computer centre, School hall, ramps and rails, fence, water, 28 toilets, 2 sports grounds.</t>
  </si>
  <si>
    <t>Planning and Design: Construction Administration Block, library, computer centre, School hall, ramps and rails, fence, kitchen, water, 23 toilets, 2 sports grounds &amp; car parking</t>
  </si>
  <si>
    <t>Masibonisane</t>
  </si>
  <si>
    <t>Planning and Design: Construction 10 Classrooms, Administration Block, library, computer centre, Multi Media Center, Music room, School hall, ramps and rails, fence, kitchen, water, 13 toilets, 2 sports grounds &amp; car parking</t>
  </si>
  <si>
    <t>Planning and Design: Construction 7 Classroom, Administration Block, library, computer centre, School hall, ramps and rails, fence, kitchen, 20 toilets, 1 sport field</t>
  </si>
  <si>
    <t>Sabatha</t>
  </si>
  <si>
    <t>Supply water</t>
  </si>
  <si>
    <t>Planning and Design: Construction 8 Classroom, library, computer centre, School hall, ramps and rails, fence, water, electricty, kitchen, 24 toilets, 1 sport field</t>
  </si>
  <si>
    <t>Mayibuye</t>
  </si>
  <si>
    <t>Planning and Design: Construction 4 Classrooms</t>
  </si>
  <si>
    <t>S'bongile</t>
  </si>
  <si>
    <t>Planning and Design: Construction 1 Grade R center,  10 classrooms, Administration Block,  library, multi media centre, Multi purpose, School hall, ramps and rails, kitchen, 10 toilets, 1 sports ground, car parking</t>
  </si>
  <si>
    <t>Camalaza</t>
  </si>
  <si>
    <t>Planning and Design: Construction 12 Classrooms</t>
  </si>
  <si>
    <t>Planning and Design: Construction 1 Grade R Centre, 12 Classrooms</t>
  </si>
  <si>
    <t>Gutjwa</t>
  </si>
  <si>
    <t>Planning and Design: Construction 1 Grade R center, 8 Classrooms Administration Block,  library, computer center, multi media centre, music room</t>
  </si>
  <si>
    <t>Emtfonjeni</t>
  </si>
  <si>
    <t>Planning and Design: Construction 1 Grade R center, 12 Classrooms Administration Block,  library, computer center, multi media centre, music room</t>
  </si>
  <si>
    <t>Planning and Design: Construction 12 Classrooms, library, computer center, 8 toilets</t>
  </si>
  <si>
    <t>Malekutu</t>
  </si>
  <si>
    <t>Planning and Design: Construction 2 Classrooms,  Administration Block,  library, computer centre, multi media centre, music room, ramps and rails, kitchen, 10 toilets, 2 sports ground, car parking</t>
  </si>
  <si>
    <t>Hlanganani</t>
  </si>
  <si>
    <t>s</t>
  </si>
  <si>
    <t>Planning and Design: Construction 5 Classrooms, library, computer centre, multi media centre, music room, ramps and rails, kitchen, 10 toilets, 2 sports ground, car parking</t>
  </si>
  <si>
    <t>Lwaleng</t>
  </si>
  <si>
    <t>Planning and Design: Construction 5 Classrooms, Administration block, library, computer centre,  ramps and rails, kitchen, 4 toilets, 2 sports ground, car parking</t>
  </si>
  <si>
    <t>Bhekiswayo</t>
  </si>
  <si>
    <t>Planning and Design: Construction  8 Classrooms, computer centre, multi purpose, 10 toilets, car parking</t>
  </si>
  <si>
    <t>Thula</t>
  </si>
  <si>
    <t>Planning and Design: Construction Administration block, library, computer centre, multi media centre, music room, ramps and rails, kitchen, 6 toilets, 2 sports ground, car parking</t>
  </si>
  <si>
    <t>Lowveld High</t>
  </si>
  <si>
    <t>43 Classrooms</t>
  </si>
  <si>
    <t>Ndindindi</t>
  </si>
  <si>
    <t>15 Classrooms</t>
  </si>
  <si>
    <t xml:space="preserve">Mtungwa </t>
  </si>
  <si>
    <t>22 Classrooms, Administration block, Laboratory, Library, Computer Centre</t>
  </si>
  <si>
    <t>Sidlamafa</t>
  </si>
  <si>
    <t>20 Classrooms, Administration block, Laboratory, Library, Computer Centre</t>
  </si>
  <si>
    <t>Tiphembeleni</t>
  </si>
  <si>
    <t>1 Grade R, 8 Classrooms</t>
  </si>
  <si>
    <t>20 Classrooms, 16 Toilets, Fence</t>
  </si>
  <si>
    <t>Khumbula</t>
  </si>
  <si>
    <t>26 Classrooms, 19 Toilets</t>
  </si>
  <si>
    <t>27 Classrooms</t>
  </si>
  <si>
    <t>Hoechst</t>
  </si>
  <si>
    <t>4 Grade R, 16 Classrooms, 12 Toilets, Fence</t>
  </si>
  <si>
    <t>Sihlangu</t>
  </si>
  <si>
    <t>14 Classrooms, 16 Toilets</t>
  </si>
  <si>
    <t>Vukasambe</t>
  </si>
  <si>
    <t>16 Classrooms</t>
  </si>
  <si>
    <t>22 Classrooms, Administration block</t>
  </si>
  <si>
    <t>16 Classrooms, 28 Toilets</t>
  </si>
  <si>
    <t>Khanyisani</t>
  </si>
  <si>
    <t>5 Classrooms, Electricity</t>
  </si>
  <si>
    <t>Kusile</t>
  </si>
  <si>
    <t>12 Classrooms, 12 Toilets</t>
  </si>
  <si>
    <t>Etimbondvweni</t>
  </si>
  <si>
    <t>10 Toilets</t>
  </si>
  <si>
    <t>Salubindza</t>
  </si>
  <si>
    <t>Zakheleni</t>
  </si>
  <si>
    <t>14 Classrooms, Administration block, 10 Toilets, Fence</t>
  </si>
  <si>
    <t>10Classrooms, 6 Toilets</t>
  </si>
  <si>
    <t>Enzani</t>
  </si>
  <si>
    <t>16 Classrooms, Administration block, 12 Toilets, Kitchen</t>
  </si>
  <si>
    <t>Matsamo</t>
  </si>
  <si>
    <t>17 Classrooms, Administration block</t>
  </si>
  <si>
    <t>Njeyeza</t>
  </si>
  <si>
    <t>Laboratory</t>
  </si>
  <si>
    <t>Planning and Design: Construction 12 Classrooms, Laboratory, library, computer centre, school hall,  ramps and rails, kitchen, 18 toilets, 3 sports ground, car parking</t>
  </si>
  <si>
    <t>Planning and Design: Construction 1 Grade R center, 12 Classrooms,administration block, library, computer centre, ramps and rails, kitchen, 12 toilets, 3 sports ground, car parking</t>
  </si>
  <si>
    <t>Planning and Design: Construction 9 Classrooms, Laboratory, library, computer centre, school hall,  ramps and rails, kitchen, water, 6 toilets, fence,  3 sports ground, car parking</t>
  </si>
  <si>
    <t xml:space="preserve">Kwadela Secondary </t>
  </si>
  <si>
    <t>Planning and Design: Construction 9 Classrooms, Laboratory, library, computer centre, school hall,  ramps and rails, kitchen, 18 toilets, fence,  3 sports ground, car parking</t>
  </si>
  <si>
    <t>Cana Combined</t>
  </si>
  <si>
    <t>Planning and Design: Construction 1 Grade R center, 8 Classrooms, administration block, laboratory, library, school hall, kitchen, 10 toilets, fence, ramps &amp; rails, 3 sports ground</t>
  </si>
  <si>
    <t>Mpuluzi Secondary</t>
  </si>
  <si>
    <t>Tokoloho Primary</t>
  </si>
  <si>
    <t>Malibongwe Primary</t>
  </si>
  <si>
    <t>Zamokuhle Primary</t>
  </si>
  <si>
    <t>Highveldridge East</t>
  </si>
  <si>
    <t>Imizamoyethu Primary</t>
  </si>
  <si>
    <t xml:space="preserve">Ithole  Primary </t>
  </si>
  <si>
    <t>Zamokuhle</t>
  </si>
  <si>
    <t>Highveldridge east</t>
  </si>
  <si>
    <t>Msinyane Secondary</t>
  </si>
  <si>
    <t>10 Classrooms</t>
  </si>
  <si>
    <t>Phaphamani Primary</t>
  </si>
  <si>
    <t>9 Classrooms</t>
  </si>
  <si>
    <t>Yellowstone</t>
  </si>
  <si>
    <t>Isifisosethu Primary</t>
  </si>
  <si>
    <t>8 Classrooms</t>
  </si>
  <si>
    <t>The Gem</t>
  </si>
  <si>
    <t>Breyten</t>
  </si>
  <si>
    <t>Jeug krag Primary</t>
  </si>
  <si>
    <t>Staneast</t>
  </si>
  <si>
    <t>Carolina Combined</t>
  </si>
  <si>
    <t>2 Classrooms</t>
  </si>
  <si>
    <t>Peter Mabuza Primary</t>
  </si>
  <si>
    <t>24 Toilets, water</t>
  </si>
  <si>
    <t>20 Toilets, water</t>
  </si>
  <si>
    <t xml:space="preserve">Sisukumile Secondary </t>
  </si>
  <si>
    <t>Mashishila</t>
  </si>
  <si>
    <t>20 Toilets</t>
  </si>
  <si>
    <t>Sakhisizwe  Primary</t>
  </si>
  <si>
    <t>Ligugu Secondary</t>
  </si>
  <si>
    <t>16 Toilets</t>
  </si>
  <si>
    <t>MD coovidia Combined</t>
  </si>
  <si>
    <t>Cebisa Secondary</t>
  </si>
  <si>
    <t>Libhaba</t>
  </si>
  <si>
    <t xml:space="preserve">Eluyengweni Primary </t>
  </si>
  <si>
    <t>10 Toilets, water</t>
  </si>
  <si>
    <t>Salem Combined</t>
  </si>
  <si>
    <t>10 toilets</t>
  </si>
  <si>
    <t>Bhekithemba Primary</t>
  </si>
  <si>
    <t>8 Toilets</t>
  </si>
  <si>
    <t>Sibongangwane</t>
  </si>
  <si>
    <t>6 Toilets, water</t>
  </si>
  <si>
    <t>Mabombe Primary School</t>
  </si>
  <si>
    <t>1 Grade R Centre</t>
  </si>
  <si>
    <t>New Ermelo Primary</t>
  </si>
  <si>
    <t>2 Grade R Centre</t>
  </si>
  <si>
    <t>Kwachibikhulu Primary</t>
  </si>
  <si>
    <t xml:space="preserve">Breyten </t>
  </si>
  <si>
    <t xml:space="preserve">T.P Stratten </t>
  </si>
  <si>
    <t xml:space="preserve">Highveld Ridge East </t>
  </si>
  <si>
    <t xml:space="preserve">Govan Mbeki </t>
  </si>
  <si>
    <t>Phumula Primary</t>
  </si>
  <si>
    <t>Welgevond</t>
  </si>
  <si>
    <t>Thandeka Primary</t>
  </si>
  <si>
    <t>Lamlile Primary</t>
  </si>
  <si>
    <t>Vuka Primary</t>
  </si>
  <si>
    <t>SS Mshayisa Primary</t>
  </si>
  <si>
    <t xml:space="preserve">Highveld Ridge West </t>
  </si>
  <si>
    <t>Leseli Combined</t>
  </si>
  <si>
    <t>Rehabilitation of damages to 24 classrooms, 32 Toilets, Fence</t>
  </si>
  <si>
    <t>Nthoroane Secondary</t>
  </si>
  <si>
    <t>Rehabilitation of damages to 16 classrooms, 24 Toilets</t>
  </si>
  <si>
    <t>Mbalenhle Primary</t>
  </si>
  <si>
    <t>Rehabilitation of damages to 24 Toilets</t>
  </si>
  <si>
    <t>Elangwane Secondary</t>
  </si>
  <si>
    <t>Dr Pixley ka Isaka Seme</t>
  </si>
  <si>
    <t>Rehabilitation of damages to 22 Toilets</t>
  </si>
  <si>
    <t>Zinikeleni Secondary</t>
  </si>
  <si>
    <t>Rehabilitation of damages to 16 Toilets</t>
  </si>
  <si>
    <t>Sobhuza Primary</t>
  </si>
  <si>
    <t>Rehabilitation of damages to 5 classrooms, 15 Toilets</t>
  </si>
  <si>
    <t>Klein Vrystad Primary</t>
  </si>
  <si>
    <t xml:space="preserve">Piet-Retief </t>
  </si>
  <si>
    <t>Rehabilitation of damages to 2 classrooms, 15 Toilets</t>
  </si>
  <si>
    <t>Chief T.D Secondary School</t>
  </si>
  <si>
    <t xml:space="preserve">Mpuluzi </t>
  </si>
  <si>
    <t>Rehabilitation of damages to 12 classrooms, 10 Toilets</t>
  </si>
  <si>
    <t>Sunduza Primary</t>
  </si>
  <si>
    <t>Rehabilitation of damages to 3 classrooms, 10 Toilets</t>
  </si>
  <si>
    <t>Baadjiesbult Combined</t>
  </si>
  <si>
    <t>Rehabilitation of damages to 10 toilets</t>
  </si>
  <si>
    <t>Khuphukani Primary</t>
  </si>
  <si>
    <t>Rehabilitation of damages to 8 toilets</t>
  </si>
  <si>
    <t>Bhekimfundvo Primary</t>
  </si>
  <si>
    <t>Lindzalokuhle Primary</t>
  </si>
  <si>
    <t>Imisebeyelanga Primary</t>
  </si>
  <si>
    <t>Stan East</t>
  </si>
  <si>
    <t>Rehabilitation of damages to 6 toilets</t>
  </si>
  <si>
    <t>Reggie Masuku Secondary</t>
  </si>
  <si>
    <t>Fence</t>
  </si>
  <si>
    <t>Siyabonga Secondary</t>
  </si>
  <si>
    <t>Phembindlela Primary</t>
  </si>
  <si>
    <t>Dr Pixley Ka Isaka Seme</t>
  </si>
  <si>
    <t>Rev SA Nkosi Secondary</t>
  </si>
  <si>
    <t>Mkhomazi primary</t>
  </si>
  <si>
    <t>Diepgezet Primary</t>
  </si>
  <si>
    <t>Maqhwauzela Combined</t>
  </si>
  <si>
    <t>Siphumelele Combined</t>
  </si>
  <si>
    <t>Electrricity</t>
  </si>
  <si>
    <t>Silindzile Primary</t>
  </si>
  <si>
    <t>Buhlebuyeza Primary</t>
  </si>
  <si>
    <t>Ziwelile Primary</t>
  </si>
  <si>
    <t>Isiyalu Primary</t>
  </si>
  <si>
    <t>Fence, electricity</t>
  </si>
  <si>
    <t>Nokuthula Primary</t>
  </si>
  <si>
    <t>Basizeni Special School</t>
  </si>
  <si>
    <t>Phase 1 : Remedial works to ceilings, electrical worksand minorworks repair to roof.
Phase 2 : Dismantling and carting away of existing damaged prefab buildings and construction of 8New Special School Classrooms</t>
  </si>
  <si>
    <t>Tsandzanani Primary School</t>
  </si>
  <si>
    <t>Rehabilitation of Storm Damaged Structures. Demolishing of 18 unsafe classrooms and construction of  18 new classrooms and 20 Enviro-loo toilets.</t>
  </si>
  <si>
    <t>Panyana Primary School</t>
  </si>
  <si>
    <t>CRDP: Rehabilitation of Storm Damaged Structures. Demolishing of unsafe classrooms and construction of  12 new classrooms and 22 Enviro-loo toilets.</t>
  </si>
  <si>
    <t>Luthango</t>
  </si>
  <si>
    <t>Ngilandi</t>
  </si>
  <si>
    <t>Rehabilitation of Storm Damaged Structures. (Scope of works currently being finalized)</t>
  </si>
  <si>
    <t>Letshele</t>
  </si>
  <si>
    <t>Extended Public Works Programme (EPWP)</t>
  </si>
  <si>
    <t>CRDP: Construction of  20 Enviro-Loo toilets</t>
  </si>
  <si>
    <t>Lobhengula</t>
  </si>
  <si>
    <t>CRDP: Construction of  14 Enviro-Loo toilets</t>
  </si>
  <si>
    <t>Hundzukani</t>
  </si>
  <si>
    <t>CRDP: Construction of  8 Enviro-Loo toilets</t>
  </si>
  <si>
    <t>Ian Mackenzie</t>
  </si>
  <si>
    <t>CRDP: Construction of  10 Enviro-Loo toilets</t>
  </si>
  <si>
    <t>EPWP - Data Capturing</t>
  </si>
  <si>
    <t>Data capturing and reports for EPWP projects</t>
  </si>
  <si>
    <t>Sinethemba Secondary School</t>
  </si>
  <si>
    <t>CRDP: Construction of  1 new workshop and refurbishment of 3 workshops.</t>
  </si>
  <si>
    <t>Bonginsimbi ComprehensiveSchool</t>
  </si>
  <si>
    <t>eMalahleni 1</t>
  </si>
  <si>
    <t>Refurbishment of 4 workshops to comply with safety standards.</t>
  </si>
  <si>
    <t>Kusasalethu Secondary School</t>
  </si>
  <si>
    <t>Masizakhe Secondary School</t>
  </si>
  <si>
    <t>Construction of 2 new workshops and refurbishment of 2 workshops to comply with safety standards.</t>
  </si>
  <si>
    <t>Sophungane Combined School</t>
  </si>
  <si>
    <t>CRDP: Renovation and furnishing of science laboratory.</t>
  </si>
  <si>
    <t>Lugebhuta Secondary School</t>
  </si>
  <si>
    <t>Mjokwane Secondary School</t>
  </si>
  <si>
    <t>Thomas Nhlabathi Secondary School</t>
  </si>
  <si>
    <t>Highveld Ridge West</t>
  </si>
  <si>
    <t>Renovation and furnishing of science laboratory.</t>
  </si>
  <si>
    <t>Zinikeleni Secondary School</t>
  </si>
  <si>
    <t>Lindile Secondary School</t>
  </si>
  <si>
    <t>Bonginsimbi Comprehensive School</t>
  </si>
  <si>
    <t>Ramoshidi Secondary School</t>
  </si>
  <si>
    <t>Sofunda Secondary School</t>
  </si>
  <si>
    <t>Khamane Secondary School</t>
  </si>
  <si>
    <t>Lehlasedi High School</t>
  </si>
  <si>
    <t>Inkomazi Secondary School</t>
  </si>
  <si>
    <t>Khutsalani Secondary School</t>
  </si>
  <si>
    <t>Alpheus D Nkosi Secondary School</t>
  </si>
  <si>
    <t>Takheni Secondary School</t>
  </si>
  <si>
    <t>Highveld Secondary School</t>
  </si>
  <si>
    <t>Mmametlhake Secondary School</t>
  </si>
  <si>
    <t>Sozama Secondary School</t>
  </si>
  <si>
    <t>Allendale Secondary School</t>
  </si>
  <si>
    <t>Kwamhlanga Secondary School</t>
  </si>
  <si>
    <t>District Administration</t>
  </si>
  <si>
    <t>Administration</t>
  </si>
  <si>
    <t>District Administered Maintenance</t>
  </si>
  <si>
    <t>Ext 24 Primary School ( New)</t>
  </si>
  <si>
    <t>Steve Tshwete 2</t>
  </si>
  <si>
    <t xml:space="preserve"> Construction of a Grade R Centre, 24 Classrooms, administration block, library, computer centre, 36 toilets, fence, electricity, water, school hall, kitchen, 3 sports grounds and car park.</t>
  </si>
  <si>
    <t xml:space="preserve">New Klarinet Primary School </t>
  </si>
  <si>
    <t xml:space="preserve">Mountainview Primary ( New School) </t>
  </si>
  <si>
    <t>KwaMhlanga S/W</t>
  </si>
  <si>
    <t xml:space="preserve">Thembisile Hani </t>
  </si>
  <si>
    <t>Construction of a Grade R Centre, 24 Classrooms, administration block, library, computer centre, 36 toilets, fence, electricity, water, school hall, kitchen, 3 sports grounds and car park.</t>
  </si>
  <si>
    <t xml:space="preserve">Kwaguqa New Primary </t>
  </si>
  <si>
    <t>EMalahleni 3</t>
  </si>
  <si>
    <t>De Beersprut ( New School)</t>
  </si>
  <si>
    <t xml:space="preserve">Marapyane </t>
  </si>
  <si>
    <t>Construction of  16 Classrooms, administration block, library, computer centre, 26 toilets, fence, electricity, water, school hall, kitchen, 3 sports grounds and car park.</t>
  </si>
  <si>
    <t xml:space="preserve">New Primary (Sheldon ) </t>
  </si>
  <si>
    <t>KwaMhlanga N/E</t>
  </si>
  <si>
    <t>Langa</t>
  </si>
  <si>
    <t>Shabalala</t>
  </si>
  <si>
    <t>Planning and Design: Construction of 20 Classrooms, administration block, laboratory, library, computer centre, 30 toilets, School Hall, Elelctricity, Water, Ramps and Rails, 2 Sports Grounds &amp; Car Park.</t>
  </si>
  <si>
    <t>Volksrust Primary School</t>
  </si>
  <si>
    <t>Planning and Design: Construction of Grade R Centre,  24 Classrooms, Administration block, library, computer centre, 30 Toilets, Kitchen, ramps + rails, 3 Sports Grounds and Car Park. (PHASE 2)</t>
  </si>
  <si>
    <t>New Daggakraal Primary</t>
  </si>
  <si>
    <t>Planning and Design: Construction of Grade R Centre,  24 Classrooms, Administration block, library, computer centre, 30 Toilets, Fence, Electricity, Water, Kitchen, ramps + rails, 3 Sports Grounds and Car Park.</t>
  </si>
  <si>
    <t>New Primary(Hlanganani)</t>
  </si>
  <si>
    <t xml:space="preserve">New Secondary School </t>
  </si>
  <si>
    <t>Planning and Design: Construction of 28 Classrooms, Administration block, laboratory, library, computer centre, School Hall, 30 Toilets, Fence, Electricity, Water, Kitchen, ramps + rails, 3 Sports Grounds and Car Park.</t>
  </si>
  <si>
    <t>ThusiVille Primary</t>
  </si>
  <si>
    <t>Ermelo1</t>
  </si>
  <si>
    <t>Planning and Design: Construction of Grade R Centre,  24 Classrooms, Administration block, laboratory, library, computer centre, 30 Toilets, Fence, Electricity, Water, Kitchen, ramps + rails, 3 Sports Grounds and Car Park.</t>
  </si>
  <si>
    <t>New  Primary (Ethandukukhanya</t>
  </si>
  <si>
    <t>Complied:</t>
  </si>
  <si>
    <t>Ms NN Ntuli</t>
  </si>
  <si>
    <t>Department of Education - PRFP - Deputy Director</t>
  </si>
  <si>
    <t>Recommended / Not Recommended:</t>
  </si>
  <si>
    <t>Department of Education - PRFP - Acting Director</t>
  </si>
  <si>
    <t>Approved / Not Approved:</t>
  </si>
  <si>
    <t>Mrs MOC Mhlabane</t>
  </si>
  <si>
    <t>Department of Education - Head of Department</t>
  </si>
  <si>
    <t>Nduma</t>
  </si>
  <si>
    <t xml:space="preserve">Lehlogonolo  </t>
  </si>
  <si>
    <t>Moriting</t>
  </si>
  <si>
    <t>Planning and Design: Construction of a Grade R Centre, 10 Classrooms, Administration Block, Library, Computer Centre, School Hall, 14 Toilets ,Fence, Electricity, Water, Kitchen, Ramps and Rails, 2 sports grounds and car park.</t>
  </si>
  <si>
    <t>Planning and Design: Construction of a Grade R Centre, 12 Classrooms</t>
  </si>
  <si>
    <t>Planning and Design: Construction of a Grade R Centre</t>
  </si>
  <si>
    <t>Shalamuka</t>
  </si>
  <si>
    <t>Senianya</t>
  </si>
  <si>
    <t>Puledi</t>
  </si>
  <si>
    <t>Samson Sibuyi</t>
  </si>
  <si>
    <t>Salani</t>
  </si>
  <si>
    <t xml:space="preserve">Arhurseat </t>
  </si>
  <si>
    <t>Mkhulhu</t>
  </si>
  <si>
    <t>Clare A</t>
  </si>
  <si>
    <t>Completion of 18 Enviro-Loo toilets</t>
  </si>
  <si>
    <t>Completion of 12 Enviro-Loo toilets</t>
  </si>
  <si>
    <t>Completion of 8 Enviro-Loo toilets</t>
  </si>
  <si>
    <t>Jongilanga</t>
  </si>
  <si>
    <t>Magudu</t>
  </si>
  <si>
    <t>Mashishing</t>
  </si>
  <si>
    <t>Spekboom</t>
  </si>
  <si>
    <t>Hambanathi</t>
  </si>
  <si>
    <t>Kellysville</t>
  </si>
  <si>
    <t>Marifaan</t>
  </si>
  <si>
    <t>Boikhutso</t>
  </si>
  <si>
    <t>Narishe</t>
  </si>
  <si>
    <t>Moholoholo</t>
  </si>
  <si>
    <t>NP. Mathabela</t>
  </si>
  <si>
    <t xml:space="preserve">Lehlasedi                  </t>
  </si>
  <si>
    <t>Dayimani</t>
  </si>
  <si>
    <t>Shiviti</t>
  </si>
  <si>
    <t>Hobo</t>
  </si>
  <si>
    <t>Hoyohoyo</t>
  </si>
  <si>
    <t>James Khosa</t>
  </si>
  <si>
    <t>Mgangedwa</t>
  </si>
  <si>
    <t>Mkhweyantaba</t>
  </si>
  <si>
    <t>Beretta</t>
  </si>
  <si>
    <t>Chayiwe</t>
  </si>
  <si>
    <t>Funjwa</t>
  </si>
  <si>
    <t>Nyamazane</t>
  </si>
  <si>
    <t>LM Kganane</t>
  </si>
  <si>
    <t>Makorompne</t>
  </si>
  <si>
    <t>Lebadishang</t>
  </si>
  <si>
    <t xml:space="preserve">Renovations of 10 Classroom , administration block, laboratory, library, computer centre, mutli media centre </t>
  </si>
  <si>
    <t>Renovations of Grade R, 26 Classroom, adminstration block, laboratory, library, mutli- purpose centre, music room, 1 workshop, school hall, home economic,  12 toilets, fence, water, electricity, kitchen, ramp &amp; rails, 2 sport field, car parking</t>
  </si>
  <si>
    <t>Renovations of 4 Classroom, adminstration block, laboratory, mutli- purpose centre, 14 toilets, fence, water, kitchen, ramp &amp; rails, 2 sport field, car parking</t>
  </si>
  <si>
    <t>Renovations of 1 Grade R Centre, 15 Classroom , administration block, laboratory, library, computer centre, mutli media centre, music room, home economic, mutli purpose centre, school hall, 26 toilets, fence, kitchen, ramps &amp; rails, 2 sports grounds and 10 car park.</t>
  </si>
  <si>
    <t>Renovations of 1 Grade R Centre, 13 Classroom, laboratory, library, computer centre, mutli media centre,  music room, home economic, mutli purpose centre, school hall, 20 toilets, kitchen, ramps &amp; rails, 2 sports grounds and 8 car park.</t>
  </si>
  <si>
    <t>Renovations of 4 Classroom , administration block, laboratory, library, fence, kitchen</t>
  </si>
  <si>
    <t>Renovations of 9 Classroom, kitchen</t>
  </si>
  <si>
    <t>Renovations of 26 Classroom, administration block, 1 toilet,  fence</t>
  </si>
  <si>
    <t>Renovations of 4 Classroom, 1 toilet</t>
  </si>
  <si>
    <t>Renovations of 5 Classroom, administration block</t>
  </si>
  <si>
    <t>Renovations of 15 Classroom, administration block, library</t>
  </si>
  <si>
    <t>Renovations of 18 Classroom, administration block</t>
  </si>
  <si>
    <t>Renovations of 10 Classroom, administration block, electricity, kitchen</t>
  </si>
  <si>
    <t>Renovations of 21 Classroom, administration block, computer centre, 11 toilets, fence, car parking</t>
  </si>
  <si>
    <t>Renovations of 21 Classroom, administration block, computer centre, 10 toilets</t>
  </si>
  <si>
    <t>Renovations of 4 Classroom, adminstration block, 1 toilets, kitchen, ramp &amp; rails, 2 sport field, car parking</t>
  </si>
  <si>
    <t>Renovations of 3 Grade R, 23 Classrooms</t>
  </si>
  <si>
    <t>Renovations of 2 Grade R, 16 Classrooms</t>
  </si>
  <si>
    <t>Renovations of 4 Grade R, 5 Classrooms</t>
  </si>
  <si>
    <t>Renovations of 12 Classrooms, 12 toilets</t>
  </si>
  <si>
    <t>Renovations of 12 Classrooms</t>
  </si>
  <si>
    <t>Renovations of 8 Classrooms, administration block, 12 toilets, fence</t>
  </si>
  <si>
    <t>Renovations of 4 Classroom, laboratory,  computer centre, kitchen</t>
  </si>
  <si>
    <t>Renovations of laboratory,  school hall, 1 toilet</t>
  </si>
  <si>
    <t>Renovations of 16 classrooms, administration block, 8 toilets</t>
  </si>
  <si>
    <t>Renovations of Grade R, 4 Classroom, adminstration block, laboratory, library, mutli- purpose centre, music room, school hall, home economic, kitchen, ramp &amp; rails, 2 sport field, car parking</t>
  </si>
  <si>
    <t>Nembe</t>
  </si>
  <si>
    <t>Madiba</t>
  </si>
  <si>
    <t>Mhlahle</t>
  </si>
  <si>
    <t xml:space="preserve"> Apols chiloana</t>
  </si>
  <si>
    <t>Rhandzekile</t>
  </si>
  <si>
    <t xml:space="preserve">Hlangalezwe </t>
  </si>
  <si>
    <t xml:space="preserve">MO Mashego </t>
  </si>
  <si>
    <t xml:space="preserve">Casteel </t>
  </si>
  <si>
    <t>Kennen</t>
  </si>
  <si>
    <t>Serisha</t>
  </si>
  <si>
    <t>Sibambayana</t>
  </si>
  <si>
    <t>Makgahlishe</t>
  </si>
  <si>
    <t>Sebosegolo</t>
  </si>
  <si>
    <t>Mahlale</t>
  </si>
  <si>
    <t>Shakwaneng</t>
  </si>
  <si>
    <t>Matibidi</t>
  </si>
  <si>
    <t>Munyamane</t>
  </si>
  <si>
    <t>Thwasani</t>
  </si>
  <si>
    <t>Matikwana</t>
  </si>
  <si>
    <t>Pilgrims City</t>
  </si>
  <si>
    <t>Malavutela</t>
  </si>
  <si>
    <t>Marcia Mokoena</t>
  </si>
  <si>
    <t>Mabonwana</t>
  </si>
  <si>
    <t>Khokhovela</t>
  </si>
  <si>
    <t>Floraphophe</t>
  </si>
  <si>
    <t>Jan Rikhotso</t>
  </si>
  <si>
    <t>Rolle</t>
  </si>
  <si>
    <t>Kildare</t>
  </si>
  <si>
    <t>Songeni</t>
  </si>
  <si>
    <t>Substitution of unsafe structures: of a Grade R centre, 9 classrooms, administration block, library, computer centre, music room, multi-media centre, home ecomonic, workshop, multi-purpose centre, school hall, 24 toilets, kitchen, fence, ramps and rails, water, electricity, 2 sports grounds and car park.</t>
  </si>
  <si>
    <t>Substitution of unsafe structures: of a Grade R centre, 8 classrooms, administration block, library, laboratory, computer centre, music room, multi-media centre, home ecomonic, workshop, multi-purpose centre, school hall, 12 toilets, kitchen, fence, ramps and rails, water, electricity, 2 sports grounds and car park.</t>
  </si>
  <si>
    <t>Substitution of unsafe structures: of a Grade R centre, 8 classrooms, administration block, library, computer centre, music room, multi-media centre, multi-purpose centre, 22 toilets, kitchen, fence, ramps and rails, water, electricity, 2 sports grounds and car park.</t>
  </si>
  <si>
    <t>Substitution of unsafe structures Grade R centre, 21 classrooms, school hall, 16 toilets, fence</t>
  </si>
  <si>
    <t>Substitution of unsafe structures Grade R centre, 2 classrooms, administration block,  school hall, 16 toilets, fence</t>
  </si>
  <si>
    <t xml:space="preserve">Substitution of unsafe structures 1 classrooms </t>
  </si>
  <si>
    <t>Substitution of unsafe structures: of a Grade R centre, 19 classrooms, administration block, library, laboratory, computer centre, music room, multi-media centre, multi-purpose centre,  24 toilets, kitchen, ramps and rails, water,  2 sports grounds and car park.</t>
  </si>
  <si>
    <t xml:space="preserve">Substitution of unsafe structures 6 classrooms </t>
  </si>
  <si>
    <t xml:space="preserve">Substitution of unsafe structures 8 classrooms </t>
  </si>
  <si>
    <t xml:space="preserve">Substitution of unsafe structures 10 classrooms </t>
  </si>
  <si>
    <t>Substitution of unsafe structures: 12 classrooms, library, laboratory, computer centre, multi-purpose centre, music room, home economics, workshop, school hall, fence, kitchen, ramps and rails, 1 sports grounds and car parking</t>
  </si>
  <si>
    <t>Substitution of unsafe structures: 14 classrooms, library, computer centre, multi-purpose centre, music room, home economics, workshop, school hall, fence, electricty, water, kitchen, ramps and rails, 1 sports grounds and car parking</t>
  </si>
  <si>
    <t>Substitution of unsafe structures 12 classrooms, administration block, computer centre, 8 toilets</t>
  </si>
  <si>
    <t xml:space="preserve">Substitution of unsafe structures 4 classrooms </t>
  </si>
  <si>
    <t xml:space="preserve">Substitution of unsafe structures 12 classrooms, 4 toilets </t>
  </si>
  <si>
    <t>Substitution of unsafe structures: 1 Grade R, 17 classrooms, 4 toilets, fence, electricity</t>
  </si>
  <si>
    <t>Substitution of unsafe structures: 1 Grade R, 3 classrooms, school hall, 1 toilets, fence, electricity</t>
  </si>
  <si>
    <t>Substitution of unsafe structures: 1 Grade R,  12 classrooms, library, laboratory, computer centre, multi-purpose centre, music room, home economics, school hall, 18 toilets, kitchen, ramps and rails, 2 sports grounds and 10 car parking</t>
  </si>
  <si>
    <t>Substitution of unsafe structures: 12 classrooms, library, laboratory, computer centre, multi-purpose centre, music room, home economics, school hall, 15 toilets, kitchen, ramps and rails, 2 sports grounds and 10 car parking</t>
  </si>
  <si>
    <t>Substitution of unsafe structures: 1 Grade R, 10 classrooms, library, laboratory, computer centre, multi-purpose centre, music room, home economics, school hall, 17 toilets, kitchen, ramps and rails, 2 sports grounds and 10 car parking</t>
  </si>
  <si>
    <t>Substitution of unsafe structures: 1 Grade R, 9 classrooms, electricity</t>
  </si>
  <si>
    <t>Substitution of unsafe structures: 1 Grade R, 15 classrooms, library, laboratory, computer centre, multi-purpose centre, music room, home economics, school hall, kitchen, ramps and rails, 2 sports grounds and 10 car parking</t>
  </si>
  <si>
    <t xml:space="preserve">Substitution of unsafe structures 3 classrooms </t>
  </si>
  <si>
    <t>Substitution of unsafe structures: 1 Grade R, 8 classrooms, administration, 1 toilets, kitchen, ramps and rails, 2 sports grounds and 10 car parking</t>
  </si>
  <si>
    <t>Substitution of unsafe structures: 12 classrooms, administration, 1 toilets, fence, kitchen, ramps and rails, 2 sports grounds and 10 car parking</t>
  </si>
  <si>
    <t>Substitution of unsafe structures: 6 classrooms, administration block, computer centre,  6 toilets, electricity, water, kitchen, car parking</t>
  </si>
  <si>
    <t>Substitution of unsafe structures: 8 classrooms, administration block,  8 toilets, fence, kitchen</t>
  </si>
  <si>
    <t>Substitution of unsafe structures: 20 classrooms, administration block,  8 toilets, water, kitchen</t>
  </si>
  <si>
    <t>Lydenburg</t>
  </si>
  <si>
    <t>Substitution of unsafe structures: 14 classrooms, library, computer centre, multi-purpose centre, music room, home economics,  school hall, 8 toilets, fence, kitchen, ramps and rails, 1 sports grounds and car parking</t>
  </si>
  <si>
    <t>Substitution of unsafe structures: 8 classrooms, library, computer centre, multi-purpose centre, music room, home economics,  school hall, 8 toilets, fence, kitchen, ramps and rails, 1 sports grounds and car parking</t>
  </si>
  <si>
    <t>Substitution of unsafe structures: 15 classrooms, library, computer centre, multi-purpose centre, music room, home economics,  school hall, 14 toilets, fence, kitchen, ramps and rails, 1 sports grounds and car parking</t>
  </si>
  <si>
    <t>Substitution of unsafe structures: 1 Grade R, 19 classrooms, administration block, library, laboratory, computer centre, multi-media centre, multi-purpose centre, music room, home economics, workshop, school hall, 18 toilets, fence, electricty, water, kitchen, ramps and rails, 2 sports grounds and car parking</t>
  </si>
  <si>
    <t>H</t>
  </si>
  <si>
    <t>ximhungwe</t>
  </si>
  <si>
    <t>Planning and Design: Construction Laboratory, library, school hall, home economics, kitchen, 10 toilets, ramps &amp; rails, water, kitchen, 3 sports ground</t>
  </si>
  <si>
    <t>Planning and Design: Construction 6 Classrooms, library, computer centre, kitchen, 4 toilets, fence, school hall, ramps &amp; rails, 3 sports ground, car parking</t>
  </si>
  <si>
    <t>Planning and Design: Construction 1 Grade R center, 6 Classrooms, administration block, library, computer centre, kitchen, 6 toilets, fence, kitchen, ramps &amp; rails, 2 sports ground, car parking</t>
  </si>
  <si>
    <t>Planning and Design: Construction 1 Grade R center, 5 Classrooms, administration block, library, computer centre, kitchen, 10 toilets, fence, kitchen, ramps &amp; rails, 3 sports ground, car parking</t>
  </si>
  <si>
    <t>Planning and Design: Construction 1 Grade R center, 4 Classrooms, administration block, library, laboratory, computer centre, kitchen, 12 toilets, fence, kitchen, ramps &amp; rails, 3 sports ground, car parking</t>
  </si>
  <si>
    <t>Planning and Design: Construction 1 Grade R center, 3 Classrooms, library, computer centre, kitchen, 4 toilets, fence, kitchen, 1 sports ground, car parking</t>
  </si>
  <si>
    <t>Vulamehlo Primary</t>
  </si>
  <si>
    <t>Bonginhlanhla Primary</t>
  </si>
  <si>
    <t xml:space="preserve">Mphephethe Primary </t>
  </si>
  <si>
    <t xml:space="preserve">HTS Middelburg </t>
  </si>
  <si>
    <t xml:space="preserve">Thushanang Primary </t>
  </si>
  <si>
    <t xml:space="preserve">Laeskool Delmas </t>
  </si>
  <si>
    <t xml:space="preserve">Mmadimo Primary </t>
  </si>
  <si>
    <t xml:space="preserve">Makhosoke Primary </t>
  </si>
  <si>
    <t>Benzangani Primary</t>
  </si>
  <si>
    <t xml:space="preserve">Laerskool Klipfontein </t>
  </si>
  <si>
    <t xml:space="preserve">Laerskool Kragbron </t>
  </si>
  <si>
    <t xml:space="preserve">Tjhidelani Primary </t>
  </si>
  <si>
    <t>Robert Carruthers</t>
  </si>
  <si>
    <t xml:space="preserve">Laerskool Krielpark </t>
  </si>
  <si>
    <t>Laerskool Balmoral</t>
  </si>
  <si>
    <t>Primary</t>
  </si>
  <si>
    <t xml:space="preserve">Primary </t>
  </si>
  <si>
    <t xml:space="preserve">Secondary </t>
  </si>
  <si>
    <t>T/Fontein  N</t>
  </si>
  <si>
    <t>Steve Tshwete 1</t>
  </si>
  <si>
    <t>Steve Tshwete 3</t>
  </si>
  <si>
    <t xml:space="preserve">Libangeni </t>
  </si>
  <si>
    <t xml:space="preserve">Tweefontein  South </t>
  </si>
  <si>
    <t xml:space="preserve">Steve Tshwete </t>
  </si>
  <si>
    <t xml:space="preserve"> CRDP. Construction of a Grade R Centre, 16 Classrooms, administration block, library, computer centre, 18 toilets, fence, electricity, water,  kitchen, 3 sports grounds and car park.</t>
  </si>
  <si>
    <t xml:space="preserve"> Construction of a Grade R Centre, 24 Classrooms, administration block, library, computer centre, 36 toilets, fence, electricity, water, school hall, kitchen, 3 sports grounds and car park in partnership with Eskom</t>
  </si>
  <si>
    <t xml:space="preserve"> CRDP. Demolition of 16 precast classrooms and  Construction 16 Classrooms, administration block, library, computer centre, 20 toilets, fence, electricity, water, school hall, kitchen, 3 sports grounds and car park.</t>
  </si>
  <si>
    <t>Demolition of 24 asbestos structures and Construction of a Grade R Centre, 18 Classrooms, administration block, library, computer centre, 36 toilets, fence, electricity, water, school hall, kitchen, 3 sports grounds and car park.</t>
  </si>
  <si>
    <t xml:space="preserve">Demolition of 17 asbestos structures and construction of 14 classrooms , Grade R Centre  kitchen , library , computer centre , 12 toilets , car park and 3 sports grounds. </t>
  </si>
  <si>
    <t xml:space="preserve">Replacement of 7 asbestos structures and construction of 6 classrooms. </t>
  </si>
  <si>
    <t xml:space="preserve">Demolition of existing asbestos structures and construction of  1 Grade R Centre, kitchen , fence, library , car park and 3 sports grounds. </t>
  </si>
  <si>
    <t xml:space="preserve">Demolotion of 8 asbestos structures and construction of 8 classrooms. </t>
  </si>
  <si>
    <t xml:space="preserve"> CRDP. Construction of a Grade R Centre, 12 Classrooms, administration block, library, computer centre, 18 toilets, fence, electricity, water,  kitchen, 3 sports grounds and car park.</t>
  </si>
  <si>
    <t xml:space="preserve"> CRDP. Construction of a Grade R Centre, 12 Classrooms, administration block, library, computer centre, 18 toilets, fence, electricity, water, school hall, kitchen, 3 sports grounds and car park.</t>
  </si>
  <si>
    <t xml:space="preserve">Demolition of 10 asbestos classrooms , 1 laboratory  and construction of 10 classrooms and laboratory . Refurbishment of other existing structures. </t>
  </si>
  <si>
    <t xml:space="preserve">Replacement of 12 asbestos classrooms and construction 8 classrooms. </t>
  </si>
  <si>
    <t xml:space="preserve">Construction of Grade R Centre ,  library ,kitchen, demolition of 18 asbestos toilets and construction of 24 toilets. </t>
  </si>
  <si>
    <t xml:space="preserve">Demolition of 3 asbestos classrooms , 1 school hall and construction of 3 classrooms and 1 school hall. Refurbishment and renovation  of existing facilities. </t>
  </si>
  <si>
    <t xml:space="preserve">Mabothe Secondary </t>
  </si>
  <si>
    <t xml:space="preserve">Siphumule Primary </t>
  </si>
  <si>
    <t xml:space="preserve">Somabedlana Primary </t>
  </si>
  <si>
    <t xml:space="preserve">Mkhulu Combined </t>
  </si>
  <si>
    <t xml:space="preserve">Sikhulisiwe Primary </t>
  </si>
  <si>
    <t xml:space="preserve">Entokozweni Secondary </t>
  </si>
  <si>
    <t xml:space="preserve">Sithenjisiwe Secondary </t>
  </si>
  <si>
    <t xml:space="preserve">Masobye Primary </t>
  </si>
  <si>
    <t xml:space="preserve">Sukumani </t>
  </si>
  <si>
    <t xml:space="preserve">Matempule Primary </t>
  </si>
  <si>
    <t xml:space="preserve">Sobantu Secondary </t>
  </si>
  <si>
    <t xml:space="preserve">Ndayi Primary </t>
  </si>
  <si>
    <t xml:space="preserve">Hlalakahle Secondary </t>
  </si>
  <si>
    <t xml:space="preserve">Ziphakamiseni  Secondary </t>
  </si>
  <si>
    <t xml:space="preserve">Phumzile Secondary </t>
  </si>
  <si>
    <t xml:space="preserve">Sibongimpumelelo Primary </t>
  </si>
  <si>
    <t xml:space="preserve">Ditholo Combined </t>
  </si>
  <si>
    <t xml:space="preserve">LD Moetanalo Secondary </t>
  </si>
  <si>
    <t xml:space="preserve">Sothembani Primary </t>
  </si>
  <si>
    <t xml:space="preserve">Zakheni Secondary </t>
  </si>
  <si>
    <t xml:space="preserve">Vukuzame Secondary </t>
  </si>
  <si>
    <t xml:space="preserve">Ramodiegi Primary </t>
  </si>
  <si>
    <t xml:space="preserve">Makerana Primary </t>
  </si>
  <si>
    <t xml:space="preserve">Poolzee Combined </t>
  </si>
  <si>
    <t xml:space="preserve">Sizamakwethu Primary </t>
  </si>
  <si>
    <t xml:space="preserve">Zidobhele Secondary </t>
  </si>
  <si>
    <t xml:space="preserve">Musi Primary </t>
  </si>
  <si>
    <t xml:space="preserve">Andries Mashile Primary </t>
  </si>
  <si>
    <t xml:space="preserve">Mafa Max Motloung </t>
  </si>
  <si>
    <t xml:space="preserve">Nkosiphile Primary </t>
  </si>
  <si>
    <t xml:space="preserve">Somlingo Primary </t>
  </si>
  <si>
    <t xml:space="preserve">Hlonipha Secondary </t>
  </si>
  <si>
    <t xml:space="preserve">Somtshongweni Primary </t>
  </si>
  <si>
    <t xml:space="preserve">Mpilonhle Primary </t>
  </si>
  <si>
    <t xml:space="preserve">Mapule Sindane </t>
  </si>
  <si>
    <t xml:space="preserve">Siyathokoza Primary </t>
  </si>
  <si>
    <t xml:space="preserve">Combined </t>
  </si>
  <si>
    <t xml:space="preserve">Kwaggafontein West </t>
  </si>
  <si>
    <t xml:space="preserve">Mmametlhake </t>
  </si>
  <si>
    <t xml:space="preserve">Nokaneng </t>
  </si>
  <si>
    <t>Middelburg 3</t>
  </si>
  <si>
    <t xml:space="preserve">Tweefontein South  </t>
  </si>
  <si>
    <t xml:space="preserve">KwaMhlanga North East </t>
  </si>
  <si>
    <t xml:space="preserve">Tweefoontein North </t>
  </si>
  <si>
    <t>kwaMhlanga S/W</t>
  </si>
  <si>
    <t xml:space="preserve">Tweefontein North </t>
  </si>
  <si>
    <t xml:space="preserve">Emakhazeni </t>
  </si>
  <si>
    <t xml:space="preserve">eMakhazeni </t>
  </si>
  <si>
    <t xml:space="preserve">Construction of 5 additional classrooms , 10 toilets, kitchen and renovation of existing structures. </t>
  </si>
  <si>
    <t xml:space="preserve">Construction of 5 classrooms , Grade R Centre  administration block , library , kitchen, School Hall ,  fence , 12 toilets , 2 Sports Grounds , Car Park and renovation of  classrooms.  </t>
  </si>
  <si>
    <t xml:space="preserve">Construction of 20 classrooms , administration block , Library , Grade R Centre , 12 toilets , Fence , Kitchen , 3 Sports Grounds and  Car Park. </t>
  </si>
  <si>
    <t xml:space="preserve">Construction of 5 classrooms , Grade R Centre  administration block , library , kitchen, fence , 12 toilets , 2 Sports Grounds , Car Park and renovation of  classrooms.  </t>
  </si>
  <si>
    <t xml:space="preserve">CRDP. Construction of 6 Classrooms  , administration block ,  library , kitchen ,  laboratory  fence and 12 ablution facilities. Renovation and refurbishment of  16 existing classrooms. </t>
  </si>
  <si>
    <t xml:space="preserve">Construction of 8 classrooms , Life Science Laboratory , Kitchen , Library , 12 toilets , fence, 3 Sports Grounds and palisade fence. </t>
  </si>
  <si>
    <t xml:space="preserve">CRDP - Planning and Design: Construction of a Grade R Centre, 10 Classrooms , administration block, library, computer centre, kitchen, 28 toilets, electricity, water, fence, 3 sports grounds, car park,  ramps and rails. </t>
  </si>
  <si>
    <t>CRDP . Construction of administration block , library , Computer Centre ,  kitchen and Grade R Centre , 2 Sports Grounds ,Car Park.</t>
  </si>
  <si>
    <t xml:space="preserve"> Construction of administration block , library , Computer Centre ,  kitchen and Grade R Centre , 2 Sports Grounds ,Car Park.</t>
  </si>
  <si>
    <t xml:space="preserve">CRDP.Construction of Grade R Centre , Administration block , Kitchen , Computer Centre , Car Park , 3 Sports Grounds and renovation of 16 classrooms. </t>
  </si>
  <si>
    <t xml:space="preserve">CRDP.Completion of   Administration block  construnction of  Kitchen , Computer Centre , Car Park , 3 Sports Grounds and renovation of 16 classrooms. </t>
  </si>
  <si>
    <t xml:space="preserve">CRDP. Construction of Grade R Centre , library , kitchen ,  fence and 12 ablution facilities. Renovation and refurbishment of  16 existing classrooms and 1 administration block. </t>
  </si>
  <si>
    <t xml:space="preserve">CRDP. Construction of 12 additional classrooms  , library ,Fence laboratory , kitchen, ramp &amp; rails , water , electricity ,  3 Sports Grounds ,  Car Park and renovation of 15 classrooms.  </t>
  </si>
  <si>
    <t xml:space="preserve">Demolition of 5 unsafe classrooms , Construction of 5 classrooms , administration block, library , laboratory , kitchen , fence , 12 ablution facilities, car park and 2 sports grounds . Renovation of 8 classrooms. </t>
  </si>
  <si>
    <t xml:space="preserve">Construction of administration block , library , kitchen , 12 toilets  , 2 Sports Grounds  and Car Park. Renovation of existing 16  classrooms. </t>
  </si>
  <si>
    <t xml:space="preserve">Construction of 3 additional classrooms ,  1 administration block , 1 library , kitchen , School hall ,  3 sports grounds and car park. Renovation of existing 16 classrooms , computer cenre and laboratory.  </t>
  </si>
  <si>
    <t xml:space="preserve">Construction of administration block , library ,computer centre  Grade R Centre , fence and 12 ablution facilities.Refurbishment and renovation of 7 existing classrooms.  </t>
  </si>
  <si>
    <t xml:space="preserve">Construction of administration block , library , Kitchen , Computer Centre ,  Grade R Centre , fence and 12 ablution facilities.Refurbishment and renovation of 16 classrooms.  </t>
  </si>
  <si>
    <t xml:space="preserve">CRDP. Construction of administration block  , library , computer centre ,  kitchen ,  fence and 12 ablution facilities. Renovation and refurbishment of  16 existing classrooms . </t>
  </si>
  <si>
    <t xml:space="preserve">Construction of 4 classrooms , 1 administration block , library , laboratory , computer centre , School Hall ,  kitchen , 1 fence , 12 toilets , car park and 2 sports grounds. </t>
  </si>
  <si>
    <t xml:space="preserve">Construction of Grade R facilities, library , Kithchen , Computer Centre , Fence , ramp &amp; rails  . </t>
  </si>
  <si>
    <t xml:space="preserve">Construction of 3 classrooms , 1 administration block , library , kitchen , 1 fence , 12 toilets , car park and 2 sports grounds. </t>
  </si>
  <si>
    <t xml:space="preserve">Construction of 3 classrooms , laboratory  , library , kitchen , 1 fence , 12 toilets , car park and 2 sports grounds. </t>
  </si>
  <si>
    <t xml:space="preserve">Demolition of 5 unsafe classrooms , Construction of 5 classrooms , administration block , kitchen , fence , 12 ablution facilities, car park and 2 sports grounds . Renovation of 8 classrooms. </t>
  </si>
  <si>
    <t xml:space="preserve">CRDP. Construction of  a  library , kitchen ,  fence and 12 ablution facilities. Renovation and refurbishment of  16 existing classrooms and 1 administration block. </t>
  </si>
  <si>
    <t>Construction of 4 additional  classrooms ,  library , kitchen , computer centre  1 fence , 12 toilets , car park and 3 sports grounds. Renovation and refurbishment of 16 existing classrooms , 1 administration block and laboratory.</t>
  </si>
  <si>
    <t xml:space="preserve"> Construction of Grade R Centre    library , kitchen ,  16 toilets  . Renovation and refurbishment of  16 existing classrooms  . </t>
  </si>
  <si>
    <t xml:space="preserve"> Construction of Grade R Centre , administration block ,  library , kitchen ,  fence , ablution facilities  and  renovation and refurbishment of  16  existing classrooms. </t>
  </si>
  <si>
    <t xml:space="preserve"> Construction of Grade R Centre , administration block ,  library , kitchen ,  fence . Renovation and refurbishment of  20 existing classrooms and 24 existing ablution facilities . </t>
  </si>
  <si>
    <t xml:space="preserve"> Construction of Grade R Centre  , 3 classrooms ,  library , kitchen ,  16 toilets  . Renovation and refurbishment of  20 existing classrooms and 24 existing ablution facilities . </t>
  </si>
  <si>
    <t>Lehlaka Combined</t>
  </si>
  <si>
    <t xml:space="preserve">Nyabela Primary </t>
  </si>
  <si>
    <t xml:space="preserve">Duduzile Secondary </t>
  </si>
  <si>
    <t xml:space="preserve">Sibukosethu Primary </t>
  </si>
  <si>
    <t xml:space="preserve">Zithuthukiseni Primary </t>
  </si>
  <si>
    <t xml:space="preserve">Ebhudlweni </t>
  </si>
  <si>
    <t xml:space="preserve">Mmutle Primary </t>
  </si>
  <si>
    <t xml:space="preserve">Siphendulwe Primary </t>
  </si>
  <si>
    <t xml:space="preserve">Dumeleni Secondary </t>
  </si>
  <si>
    <t xml:space="preserve">P Ndimande Secondary </t>
  </si>
  <si>
    <t xml:space="preserve">Itireleng Primary </t>
  </si>
  <si>
    <t xml:space="preserve">Nancy Shiba </t>
  </si>
  <si>
    <t xml:space="preserve">Zidli Primary </t>
  </si>
  <si>
    <t>Tsiki Naledi Secondary</t>
  </si>
  <si>
    <t xml:space="preserve">Ukhwezi Primary </t>
  </si>
  <si>
    <t xml:space="preserve">Gugulethu Primary </t>
  </si>
  <si>
    <t xml:space="preserve">Njomane Primary </t>
  </si>
  <si>
    <t xml:space="preserve">Dikotelo Primary </t>
  </si>
  <si>
    <t>Khonzimfundo C</t>
  </si>
  <si>
    <t>Mandlethu Secondary</t>
  </si>
  <si>
    <t xml:space="preserve">Hoerskool Delmas </t>
  </si>
  <si>
    <t xml:space="preserve">Hoerskool Kanonkop </t>
  </si>
  <si>
    <t xml:space="preserve">Thulani Primary </t>
  </si>
  <si>
    <t xml:space="preserve">Khamane Secondary </t>
  </si>
  <si>
    <t>Sibis Primary</t>
  </si>
  <si>
    <t xml:space="preserve">Mabande Secondary </t>
  </si>
  <si>
    <t xml:space="preserve">Imemeza Secondary </t>
  </si>
  <si>
    <t>Combined</t>
  </si>
  <si>
    <t xml:space="preserve">Kwagga West </t>
  </si>
  <si>
    <t xml:space="preserve"> Siyabuswa</t>
  </si>
  <si>
    <t>Tweefontein S</t>
  </si>
  <si>
    <t>Tweefontein N</t>
  </si>
  <si>
    <t>Steve Tswete 3</t>
  </si>
  <si>
    <t xml:space="preserve">Renovations of  16 classrooms , library , laboratory and computer centre. Construction of kitchen , fence , car park and 3 sports grounds.  </t>
  </si>
  <si>
    <t xml:space="preserve">Refurbishment of existing 16  classrooms ,  administration block , Laboratory ,  Library , 1 School Hall ,  and Construction of     kitchen , 12 ablution facilities  fence  , Car Park and 2 Sports grounds. </t>
  </si>
  <si>
    <t xml:space="preserve">Refurbishment of existing 33 classrooms ,  1 administration block , Library , 4 laboratories , 1 Computer Centre  , 9 ablution blocks  and Construction of  kitchen  , School Hall  and 2 Sports grounds. </t>
  </si>
  <si>
    <t xml:space="preserve">Refurbishment of existing 25  classrooms ,  administration block , Library , 1 School Hall , 35 toilets and Construction of   Grade R Centre  kitchen , fence  , Car Park and 2 Sports grounds. </t>
  </si>
  <si>
    <t>CRDP. Renovation of existing  16 classrooms , administration block ,  construction of library  , library , Kitchen ,  2 sports grounds , car park and fence.</t>
  </si>
  <si>
    <t xml:space="preserve">Renovations of  35  classrooms , administration block, library  and 17 toilets.  Construction of kitchen , computer centre  fence , car park and 3 sports grounds.  </t>
  </si>
  <si>
    <t>CRDP. Renovation of 10 classrooms ,  and construction of administration block ,  library , kitchen , 12 ablution facilities ,  2 sports grounds , car park and fence.</t>
  </si>
  <si>
    <t xml:space="preserve">Construction of administration block , kitchen , library ,   2 sports grounds , car park and renovation of 24 classrooms. </t>
  </si>
  <si>
    <t>CRDP. Renovation of 16 classrooms , administration block , toilets , laboratory and construction of library , 2 sports grounds , car park and fence.</t>
  </si>
  <si>
    <t xml:space="preserve">Renovation and refurbishment of existing  classrooms ,  administration block , library , laboratory   ablution facilities. </t>
  </si>
  <si>
    <t xml:space="preserve">Refurbishment and renovation of 18 classrooms , 1 administration block , fence , 22 ablution facilities and construction of library , kitchen , car park and 2 sports grounds. </t>
  </si>
  <si>
    <t xml:space="preserve">Refurbishment and renovation of 23 classrooms , 1 administration block , fence ,   18 ablution facilities and construction  of  kitchen , 2 sports grounds and car park.   </t>
  </si>
  <si>
    <t xml:space="preserve">Refurbishment and renovation of 16 classrooms , 1 administration block , fence , sports facilities ,  18 ablution facilities and construction  of  kitchen  </t>
  </si>
  <si>
    <t xml:space="preserve">Refurbishment and renovation of 30  classrooms , 1 administration block , fence , 22 ablution facilities and construction of Grade R Centre ,  library , kitchen , car park and 2 sports grounds. </t>
  </si>
  <si>
    <t>CRDP. Renovation of 16 classrooms , administration block  and construction of library , 12 toilets ,  2 sports grounds , car park and fence.</t>
  </si>
  <si>
    <t>CRDP. Renovation of 16 classrooms , construction of administration block , toilets ,  Grade R Centre ,  library , 2 sports grounds , car park and fence.</t>
  </si>
  <si>
    <t xml:space="preserve">CRDP. Renovation of 15 classroom, 1 administration block. Construction of kitchen, library , Computer Centre , 2 Sports Grounds , Car Park and  Fence </t>
  </si>
  <si>
    <t xml:space="preserve">Refurbishment of existing 24 classrooms, 1 administration block , 1 library , 1 kitchen , 1 school hall and 24 toilets.  </t>
  </si>
  <si>
    <t xml:space="preserve">Refurbishment of existing 16 classrooms, 1 administration block , 1 library , 1 laboratory  12 toilets.  </t>
  </si>
  <si>
    <t xml:space="preserve">Refurbishment of existing 17 classrooms, 1 administration block , 1 library , 1 kitchen , 2 computer centres , 4 laboratories , 1 school hall and existing   toilets.  </t>
  </si>
  <si>
    <t xml:space="preserve">Refurbishment of existing 16  classrooms , . Construction of administration block , Library , Computer Centre  Grade R Centre  kitchen , fence  , Car Park and 2 Sports grounds. </t>
  </si>
  <si>
    <t xml:space="preserve">Refurbishment of existing 24   classroom ,  administration block , Library , Computer Centre    , fence  ,  and construction of kitchen , Car Park and 2 Sports grounds. </t>
  </si>
  <si>
    <t xml:space="preserve">Renovation and refurbishment of 10 classrooms , construction of Grade R Centre , administration block ,  10 ablution facilities, fence and computer centre. </t>
  </si>
  <si>
    <t xml:space="preserve">Refurbishment of existing 32   classroom ,  administration block , Library , Computer Centre    , fence  ,  technical centres  and construction of kitchen , Car Park and 2 Sports grounds. </t>
  </si>
  <si>
    <t>FET and MRTT (Backlog Maintenance)</t>
  </si>
  <si>
    <t>Electricity</t>
  </si>
  <si>
    <t>Replacement of 5 asbestos classrooms and construction of 5 classrooms. Refurbishment and rehabilitation of 36 classrooms , 1 administration , 1 library , 1 laboratory , 3 computer centres</t>
  </si>
  <si>
    <t xml:space="preserve">Demolition of 2 asbestos classrooms and construction of 2 classrooms. Refurbishment and renovation  of existing 21 classrooms , 1 administration block, 2 special centres , 1 library , 1 lab  and 49  toilets. </t>
  </si>
  <si>
    <t xml:space="preserve">Construction of 8 classrooms , Life Science Laboratory , Kitchen , Library , 12 toilets , 3 Sports Grounds and palisade fence. </t>
  </si>
  <si>
    <t>Planning and Design: Construction of Grade R Centre,  28 Classrooms, Administration block, laboratory, library, computer centre, School Hall, 40 Toilets, Fence, Electricity, Water, Kitchen, ramps + rails, 3 Sports Grounds and Car Park.</t>
  </si>
  <si>
    <t>Planning and Design: Construction of 16 Classrooms, administration block, laboratory, library, computer centre, 20 toilets, School Hall, Electricity, Water, Ramps and Rails, 2 Sports Grounds &amp; Car Park.</t>
  </si>
  <si>
    <t xml:space="preserve">CRDP. Renovations of  16 classrooms, Administration Block, and Construction of 12 toilets , 2 sports grounds , fence and Car Park . </t>
  </si>
  <si>
    <t xml:space="preserve">Construction of 5 Classrooms , administration block , laboratory, library, Kitchen, Fence, Car park and 2 Sports Grounds and refurbishment of 13 classrooms.   </t>
  </si>
  <si>
    <t>Bashele Primary School</t>
  </si>
  <si>
    <t>Borolo  Primary School</t>
  </si>
  <si>
    <t>Botleng Secondary School</t>
  </si>
  <si>
    <t>Buhlebemfundo Primary School</t>
  </si>
  <si>
    <t xml:space="preserve">Refurbishment of existing 20   classroom , administration block, Library, fence, and construction of kitchen , Car Park and 2 Sports grounds. </t>
  </si>
  <si>
    <t>8 Classrooms, Fence</t>
  </si>
  <si>
    <t>5 Classrooms, 1 Grade R Centre</t>
  </si>
  <si>
    <t>10 Classrooms, Administration block, Computer Centre, School Hall and construction of 3 classrooms</t>
  </si>
  <si>
    <t>Renovations of 24 Classroom, 16 toilets, fence, electricity, water, kitchen (ex Storm Damage School)</t>
  </si>
  <si>
    <t>Demolishing of 4 storm damaged and unsafe classrooms and construction of 4 new (Retention)</t>
  </si>
  <si>
    <t>Planning and Design: Replacement of condemn structures (ex Storm Damage Schools) and completion of 8 Enviro-Loo toilets</t>
  </si>
  <si>
    <t xml:space="preserve"> CRDP. Demolition of 12 delapidated classrooms and 12 Classrooms, administration block, library, computer centre, 18 toilets, fence, electricity, water, school hall, kitchen, 3 sports grounds and car park.</t>
  </si>
  <si>
    <t xml:space="preserve">Construction of a kitchen, fence. Renovation and refurbishment of 23 existing classrooms and 18 existing ablution facilities. </t>
  </si>
  <si>
    <t>Planning and Design: Construction 12 Classroom, Administration Block, library, computer centre, School hall, ramps and rails, fence, kitchen, water, 12 toilets, 1 sport field</t>
  </si>
  <si>
    <t>CRDP- Planning and Design:  Construction of administration block, library, computer centre, kitchen, ramps and rails, 3 sports grounds and car park.</t>
  </si>
  <si>
    <t>8 Classrooms, Admin Block, MP, Computer Centre,  Kitchen, Ramps &amp; Rails, 3 Sport Fields, Parking, 1 Grade R</t>
  </si>
  <si>
    <t xml:space="preserve">CRDP. Construction of administration block , library, Fence laboratory , kitchen, 3 Sports Grounds ,  Car Park and renovation of 16 classrooms.  </t>
  </si>
  <si>
    <t>Water &amp; Sanitation</t>
  </si>
  <si>
    <t>Old Final Accounts</t>
  </si>
  <si>
    <t>Directorate : Physical Resources and Facilities Planning</t>
  </si>
  <si>
    <t>PROJECT LIST FOR 2015/2016 - Rev 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</si>
</sst>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 * #,##0_ ;_ * \-#,##0_ ;_ * &quot;-&quot;??_ ;_ @_ "/>
    <numFmt numFmtId="165" formatCode="&quot;R&quot;\ #,##0.00"/>
    <numFmt numFmtId="166" formatCode="[$-F800]dddd\,\ mmmm\ dd\,\ yyyy"/>
    <numFmt numFmtId="167" formatCode="#,##0.00;[Red]#,##0.00"/>
    <numFmt numFmtId="168" formatCode="[$-409]mmm/yy;@"/>
    <numFmt numFmtId="169" formatCode="[$-409]d\-mmm\-yyyy;@"/>
    <numFmt numFmtId="170" formatCode="#,##0.0000_);[Red]\(#,##0.0000\)"/>
    <numFmt numFmtId="171" formatCode="_(* #,##0.00_);_(* \(#,##0.00\);_(* &quot;-&quot;??_);_(@_)"/>
    <numFmt numFmtId="172" formatCode="#,##0;[Red]#,##0"/>
    <numFmt numFmtId="173" formatCode="#,##0&quot; bays&quot;"/>
    <numFmt numFmtId="174" formatCode="_(&quot;R&quot;\ * #,##0.00_);_(&quot;R&quot;\ * \(#,##0.00\);_(&quot;R&quot;\ * &quot;-&quot;??_);_(@_)"/>
    <numFmt numFmtId="175" formatCode="0_)&quot;R/no&quot;"/>
    <numFmt numFmtId="176" formatCode="&quot;R&quot;#,##0&quot;/m2 :&quot;"/>
    <numFmt numFmtId="177" formatCode="0\ &quot;Months&quot;"/>
    <numFmt numFmtId="178" formatCode="&quot;Email : &quot;@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8"/>
      <color rgb="FF00B050"/>
      <name val="Arial Narrow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b/>
      <sz val="11"/>
      <color rgb="FFFF0000"/>
      <name val="Calibri"/>
      <family val="2"/>
    </font>
    <font>
      <sz val="26"/>
      <name val="Arial Narrow"/>
      <family val="2"/>
    </font>
    <font>
      <b/>
      <sz val="24"/>
      <name val="Calibri"/>
      <family val="2"/>
    </font>
    <font>
      <b/>
      <sz val="20"/>
      <name val="Calibri"/>
      <family val="2"/>
    </font>
    <font>
      <sz val="11"/>
      <color rgb="FFFF0000"/>
      <name val="Calibri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2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0"/>
      <color indexed="24"/>
      <name val="Arial"/>
      <family val="2"/>
    </font>
    <font>
      <sz val="10"/>
      <name val="Univers (W1)"/>
      <family val="2"/>
    </font>
    <font>
      <sz val="10"/>
      <color rgb="FF006100"/>
      <name val="Calibri"/>
      <family val="2"/>
      <scheme val="minor"/>
    </font>
    <font>
      <sz val="10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sz val="10"/>
      <name val="Helv"/>
    </font>
    <font>
      <b/>
      <sz val="36"/>
      <name val="Arial Narrow"/>
      <family val="2"/>
    </font>
    <font>
      <b/>
      <sz val="36"/>
      <color indexed="8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</borders>
  <cellStyleXfs count="222">
    <xf numFmtId="0" fontId="0" fillId="0" borderId="0"/>
    <xf numFmtId="43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7" fillId="6" borderId="0" applyNumberFormat="0" applyBorder="0" applyAlignment="0" applyProtection="0"/>
    <xf numFmtId="169" fontId="18" fillId="3" borderId="0" applyNumberFormat="0" applyBorder="0" applyAlignment="0" applyProtection="0"/>
    <xf numFmtId="0" fontId="19" fillId="3" borderId="0" applyNumberFormat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13" fillId="0" borderId="0" applyFont="0" applyFill="0" applyBorder="0" applyAlignment="0" applyProtection="0"/>
    <xf numFmtId="171" fontId="5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21" fillId="0" borderId="0" applyFont="0" applyFill="0" applyBorder="0" applyAlignment="0" applyProtection="0"/>
    <xf numFmtId="169" fontId="1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5" fontId="23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169" fontId="24" fillId="2" borderId="0" applyNumberFormat="0" applyBorder="0" applyAlignment="0" applyProtection="0"/>
    <xf numFmtId="176" fontId="13" fillId="0" borderId="20"/>
    <xf numFmtId="169" fontId="25" fillId="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0" fontId="21" fillId="0" borderId="0"/>
    <xf numFmtId="0" fontId="13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" fillId="0" borderId="0"/>
    <xf numFmtId="0" fontId="13" fillId="0" borderId="0"/>
    <xf numFmtId="169" fontId="2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169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6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177" fontId="27" fillId="0" borderId="0"/>
    <xf numFmtId="0" fontId="1" fillId="0" borderId="0"/>
    <xf numFmtId="0" fontId="1" fillId="0" borderId="0"/>
    <xf numFmtId="0" fontId="13" fillId="0" borderId="0"/>
    <xf numFmtId="177" fontId="27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5" borderId="1" applyNumberFormat="0" applyFont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/>
    <xf numFmtId="178" fontId="29" fillId="0" borderId="0"/>
    <xf numFmtId="4" fontId="30" fillId="0" borderId="21"/>
    <xf numFmtId="44" fontId="1" fillId="0" borderId="0" applyFont="0" applyFill="0" applyBorder="0" applyAlignment="0" applyProtection="0"/>
  </cellStyleXfs>
  <cellXfs count="251">
    <xf numFmtId="0" fontId="0" fillId="0" borderId="0" xfId="0"/>
    <xf numFmtId="49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7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164" fontId="4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center" vertical="center" wrapText="1"/>
    </xf>
    <xf numFmtId="164" fontId="4" fillId="0" borderId="0" xfId="1" applyNumberFormat="1" applyFont="1" applyBorder="1" applyAlignment="1">
      <alignment vertical="center"/>
    </xf>
    <xf numFmtId="49" fontId="7" fillId="0" borderId="0" xfId="0" applyNumberFormat="1" applyFont="1" applyFill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9" fontId="4" fillId="0" borderId="0" xfId="2" applyFont="1" applyAlignment="1">
      <alignment horizontal="center" vertical="center"/>
    </xf>
    <xf numFmtId="164" fontId="4" fillId="0" borderId="0" xfId="1" applyNumberFormat="1" applyFont="1" applyFill="1" applyBorder="1" applyAlignment="1">
      <alignment vertical="center"/>
    </xf>
    <xf numFmtId="164" fontId="4" fillId="0" borderId="0" xfId="1" applyNumberFormat="1" applyFont="1" applyFill="1" applyAlignment="1">
      <alignment vertical="center"/>
    </xf>
    <xf numFmtId="0" fontId="9" fillId="0" borderId="0" xfId="0" applyFont="1" applyAlignment="1">
      <alignment horizontal="left" vertical="center"/>
    </xf>
    <xf numFmtId="164" fontId="4" fillId="0" borderId="0" xfId="2" applyNumberFormat="1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/>
    </xf>
    <xf numFmtId="14" fontId="3" fillId="0" borderId="5" xfId="0" applyNumberFormat="1" applyFont="1" applyFill="1" applyBorder="1" applyAlignment="1">
      <alignment horizontal="center" vertical="center"/>
    </xf>
    <xf numFmtId="164" fontId="3" fillId="0" borderId="5" xfId="1" applyNumberFormat="1" applyFont="1" applyFill="1" applyBorder="1" applyAlignment="1">
      <alignment vertical="center"/>
    </xf>
    <xf numFmtId="164" fontId="3" fillId="0" borderId="5" xfId="1" applyNumberFormat="1" applyFont="1" applyFill="1" applyBorder="1" applyAlignment="1">
      <alignment horizontal="right" vertical="center"/>
    </xf>
    <xf numFmtId="164" fontId="3" fillId="0" borderId="0" xfId="1" applyNumberFormat="1" applyFont="1" applyFill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3" fillId="0" borderId="15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14" fontId="3" fillId="0" borderId="15" xfId="0" applyNumberFormat="1" applyFont="1" applyFill="1" applyBorder="1" applyAlignment="1">
      <alignment horizontal="center" vertical="center"/>
    </xf>
    <xf numFmtId="164" fontId="3" fillId="0" borderId="15" xfId="1" applyNumberFormat="1" applyFont="1" applyFill="1" applyBorder="1" applyAlignment="1">
      <alignment vertical="center"/>
    </xf>
    <xf numFmtId="164" fontId="3" fillId="0" borderId="15" xfId="1" applyNumberFormat="1" applyFont="1" applyFill="1" applyBorder="1" applyAlignment="1">
      <alignment horizontal="right" vertical="center"/>
    </xf>
    <xf numFmtId="164" fontId="10" fillId="0" borderId="15" xfId="1" applyNumberFormat="1" applyFont="1" applyFill="1" applyBorder="1" applyAlignment="1">
      <alignment vertical="center"/>
    </xf>
    <xf numFmtId="0" fontId="10" fillId="0" borderId="15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 wrapText="1"/>
    </xf>
    <xf numFmtId="166" fontId="10" fillId="0" borderId="15" xfId="0" applyNumberFormat="1" applyFont="1" applyFill="1" applyBorder="1" applyAlignment="1">
      <alignment horizontal="left" vertical="center" wrapText="1"/>
    </xf>
    <xf numFmtId="164" fontId="10" fillId="0" borderId="0" xfId="1" applyNumberFormat="1" applyFont="1" applyFill="1" applyBorder="1" applyAlignment="1">
      <alignment vertical="center"/>
    </xf>
    <xf numFmtId="14" fontId="10" fillId="0" borderId="15" xfId="0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/>
    </xf>
    <xf numFmtId="1" fontId="10" fillId="0" borderId="15" xfId="0" applyNumberFormat="1" applyFont="1" applyFill="1" applyBorder="1" applyAlignment="1">
      <alignment horizontal="center" vertical="center"/>
    </xf>
    <xf numFmtId="164" fontId="10" fillId="0" borderId="16" xfId="1" applyNumberFormat="1" applyFont="1" applyFill="1" applyBorder="1" applyAlignment="1">
      <alignment vertical="center"/>
    </xf>
    <xf numFmtId="0" fontId="3" fillId="0" borderId="15" xfId="0" applyFont="1" applyFill="1" applyBorder="1" applyAlignment="1">
      <alignment vertical="center" wrapText="1"/>
    </xf>
    <xf numFmtId="0" fontId="3" fillId="0" borderId="15" xfId="0" applyFont="1" applyFill="1" applyBorder="1" applyAlignment="1">
      <alignment vertical="center"/>
    </xf>
    <xf numFmtId="14" fontId="10" fillId="8" borderId="15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164" fontId="10" fillId="0" borderId="0" xfId="1" applyNumberFormat="1" applyFont="1" applyAlignment="1">
      <alignment horizontal="right" vertical="center"/>
    </xf>
    <xf numFmtId="14" fontId="10" fillId="0" borderId="14" xfId="0" applyNumberFormat="1" applyFont="1" applyFill="1" applyBorder="1" applyAlignment="1">
      <alignment horizontal="center" vertical="center"/>
    </xf>
    <xf numFmtId="0" fontId="14" fillId="10" borderId="0" xfId="0" applyFont="1" applyFill="1" applyBorder="1" applyAlignment="1">
      <alignment horizontal="left" vertical="center"/>
    </xf>
    <xf numFmtId="0" fontId="14" fillId="10" borderId="0" xfId="0" applyFont="1" applyFill="1" applyBorder="1" applyAlignment="1">
      <alignment horizontal="left"/>
    </xf>
    <xf numFmtId="0" fontId="14" fillId="10" borderId="0" xfId="0" applyFont="1" applyFill="1" applyBorder="1" applyAlignment="1">
      <alignment vertical="center"/>
    </xf>
    <xf numFmtId="0" fontId="14" fillId="10" borderId="0" xfId="0" applyFont="1" applyFill="1" applyBorder="1"/>
    <xf numFmtId="168" fontId="14" fillId="10" borderId="0" xfId="0" applyNumberFormat="1" applyFont="1" applyFill="1" applyBorder="1" applyAlignment="1">
      <alignment horizontal="left" vertical="center"/>
    </xf>
    <xf numFmtId="167" fontId="14" fillId="10" borderId="0" xfId="0" applyNumberFormat="1" applyFont="1" applyFill="1" applyBorder="1" applyAlignment="1">
      <alignment horizontal="center" vertical="center"/>
    </xf>
    <xf numFmtId="168" fontId="14" fillId="10" borderId="0" xfId="0" applyNumberFormat="1" applyFont="1" applyFill="1" applyBorder="1" applyAlignment="1">
      <alignment vertical="center"/>
    </xf>
    <xf numFmtId="165" fontId="14" fillId="10" borderId="19" xfId="0" applyNumberFormat="1" applyFont="1" applyFill="1" applyBorder="1" applyAlignment="1">
      <alignment horizontal="left" vertical="center"/>
    </xf>
    <xf numFmtId="0" fontId="14" fillId="10" borderId="19" xfId="0" applyFont="1" applyFill="1" applyBorder="1" applyAlignment="1">
      <alignment wrapText="1"/>
    </xf>
    <xf numFmtId="0" fontId="14" fillId="10" borderId="0" xfId="0" applyFont="1" applyFill="1" applyBorder="1" applyAlignment="1">
      <alignment wrapText="1"/>
    </xf>
    <xf numFmtId="0" fontId="14" fillId="10" borderId="3" xfId="0" applyFont="1" applyFill="1" applyBorder="1" applyAlignment="1">
      <alignment wrapText="1"/>
    </xf>
    <xf numFmtId="0" fontId="14" fillId="0" borderId="0" xfId="0" applyFont="1" applyFill="1" applyAlignment="1">
      <alignment wrapText="1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vertical="center"/>
    </xf>
    <xf numFmtId="168" fontId="14" fillId="0" borderId="0" xfId="0" applyNumberFormat="1" applyFont="1" applyFill="1" applyBorder="1" applyAlignment="1">
      <alignment horizontal="left" vertical="center"/>
    </xf>
    <xf numFmtId="167" fontId="14" fillId="0" borderId="0" xfId="0" applyNumberFormat="1" applyFont="1" applyFill="1" applyBorder="1" applyAlignment="1">
      <alignment horizontal="center" vertical="center"/>
    </xf>
    <xf numFmtId="168" fontId="14" fillId="0" borderId="0" xfId="0" applyNumberFormat="1" applyFont="1" applyFill="1" applyBorder="1" applyAlignment="1">
      <alignment vertical="center"/>
    </xf>
    <xf numFmtId="165" fontId="14" fillId="0" borderId="0" xfId="0" applyNumberFormat="1" applyFont="1" applyFill="1" applyBorder="1" applyAlignment="1">
      <alignment horizontal="left" vertical="center"/>
    </xf>
    <xf numFmtId="0" fontId="14" fillId="0" borderId="3" xfId="0" applyFont="1" applyFill="1" applyBorder="1" applyAlignment="1">
      <alignment wrapText="1"/>
    </xf>
    <xf numFmtId="0" fontId="14" fillId="0" borderId="0" xfId="0" applyFont="1" applyFill="1" applyBorder="1" applyAlignment="1">
      <alignment wrapText="1"/>
    </xf>
    <xf numFmtId="164" fontId="3" fillId="0" borderId="3" xfId="1" applyNumberFormat="1" applyFont="1" applyBorder="1" applyAlignment="1">
      <alignment vertical="center"/>
    </xf>
    <xf numFmtId="164" fontId="3" fillId="0" borderId="0" xfId="1" applyNumberFormat="1" applyFont="1" applyBorder="1" applyAlignment="1">
      <alignment vertical="center"/>
    </xf>
    <xf numFmtId="164" fontId="3" fillId="0" borderId="0" xfId="1" applyNumberFormat="1" applyFont="1" applyAlignment="1">
      <alignment vertical="center"/>
    </xf>
    <xf numFmtId="164" fontId="3" fillId="10" borderId="3" xfId="1" applyNumberFormat="1" applyFont="1" applyFill="1" applyBorder="1" applyAlignment="1">
      <alignment vertical="center"/>
    </xf>
    <xf numFmtId="164" fontId="3" fillId="10" borderId="0" xfId="1" applyNumberFormat="1" applyFont="1" applyFill="1" applyBorder="1" applyAlignment="1">
      <alignment vertical="center"/>
    </xf>
    <xf numFmtId="0" fontId="14" fillId="0" borderId="19" xfId="0" applyFont="1" applyFill="1" applyBorder="1" applyAlignment="1">
      <alignment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5" fontId="6" fillId="0" borderId="0" xfId="1" applyNumberFormat="1" applyFont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164" fontId="4" fillId="0" borderId="0" xfId="1" applyNumberFormat="1" applyFont="1" applyBorder="1" applyAlignment="1">
      <alignment horizontal="center" vertical="center" wrapText="1"/>
    </xf>
    <xf numFmtId="164" fontId="3" fillId="8" borderId="15" xfId="1" applyNumberFormat="1" applyFont="1" applyFill="1" applyBorder="1" applyAlignment="1">
      <alignment horizontal="center" vertical="center"/>
    </xf>
    <xf numFmtId="164" fontId="14" fillId="10" borderId="0" xfId="1" applyNumberFormat="1" applyFont="1" applyFill="1" applyBorder="1" applyAlignment="1">
      <alignment wrapText="1"/>
    </xf>
    <xf numFmtId="164" fontId="14" fillId="0" borderId="0" xfId="1" applyNumberFormat="1" applyFont="1" applyFill="1" applyBorder="1" applyAlignment="1">
      <alignment wrapText="1"/>
    </xf>
    <xf numFmtId="1" fontId="4" fillId="0" borderId="0" xfId="1" applyNumberFormat="1" applyFont="1" applyFill="1" applyAlignment="1">
      <alignment vertical="center"/>
    </xf>
    <xf numFmtId="1" fontId="3" fillId="0" borderId="0" xfId="1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19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22" xfId="0" applyFont="1" applyFill="1" applyBorder="1" applyAlignment="1">
      <alignment horizontal="center" vertical="center"/>
    </xf>
    <xf numFmtId="0" fontId="11" fillId="0" borderId="17" xfId="0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14" fillId="10" borderId="19" xfId="0" applyFont="1" applyFill="1" applyBorder="1" applyAlignment="1">
      <alignment horizontal="left" vertical="center" wrapText="1"/>
    </xf>
    <xf numFmtId="165" fontId="3" fillId="0" borderId="15" xfId="1" applyNumberFormat="1" applyFont="1" applyFill="1" applyBorder="1" applyAlignment="1">
      <alignment vertical="center"/>
    </xf>
    <xf numFmtId="165" fontId="3" fillId="8" borderId="15" xfId="1" applyNumberFormat="1" applyFont="1" applyFill="1" applyBorder="1" applyAlignment="1">
      <alignment horizontal="right" vertical="center"/>
    </xf>
    <xf numFmtId="44" fontId="3" fillId="8" borderId="15" xfId="221" applyFont="1" applyFill="1" applyBorder="1" applyAlignment="1">
      <alignment horizontal="center" vertical="center"/>
    </xf>
    <xf numFmtId="164" fontId="3" fillId="0" borderId="19" xfId="1" applyNumberFormat="1" applyFont="1" applyFill="1" applyBorder="1" applyAlignment="1">
      <alignment vertical="center"/>
    </xf>
    <xf numFmtId="164" fontId="6" fillId="0" borderId="0" xfId="1" applyNumberFormat="1" applyFont="1" applyBorder="1" applyAlignment="1">
      <alignment horizontal="right" vertical="center"/>
    </xf>
    <xf numFmtId="164" fontId="6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right" vertical="center" wrapText="1"/>
    </xf>
    <xf numFmtId="164" fontId="4" fillId="11" borderId="0" xfId="1" applyNumberFormat="1" applyFont="1" applyFill="1" applyBorder="1" applyAlignment="1">
      <alignment vertical="top"/>
    </xf>
    <xf numFmtId="49" fontId="31" fillId="0" borderId="0" xfId="0" applyNumberFormat="1" applyFont="1" applyFill="1" applyBorder="1" applyAlignment="1">
      <alignment vertical="top"/>
    </xf>
    <xf numFmtId="166" fontId="31" fillId="0" borderId="0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vertical="center"/>
    </xf>
    <xf numFmtId="14" fontId="3" fillId="0" borderId="10" xfId="0" applyNumberFormat="1" applyFont="1" applyFill="1" applyBorder="1" applyAlignment="1">
      <alignment horizontal="center" vertical="center"/>
    </xf>
    <xf numFmtId="164" fontId="3" fillId="0" borderId="10" xfId="1" applyNumberFormat="1" applyFont="1" applyFill="1" applyBorder="1" applyAlignment="1">
      <alignment vertical="center"/>
    </xf>
    <xf numFmtId="164" fontId="3" fillId="0" borderId="10" xfId="1" applyNumberFormat="1" applyFont="1" applyFill="1" applyBorder="1" applyAlignment="1">
      <alignment horizontal="right" vertical="center"/>
    </xf>
    <xf numFmtId="164" fontId="3" fillId="8" borderId="10" xfId="1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64" fontId="4" fillId="0" borderId="5" xfId="1" applyNumberFormat="1" applyFont="1" applyFill="1" applyBorder="1" applyAlignment="1">
      <alignment horizontal="center" vertical="center" wrapText="1"/>
    </xf>
    <xf numFmtId="1" fontId="3" fillId="0" borderId="5" xfId="1" applyNumberFormat="1" applyFont="1" applyFill="1" applyBorder="1" applyAlignment="1">
      <alignment vertical="center"/>
    </xf>
    <xf numFmtId="164" fontId="3" fillId="8" borderId="5" xfId="1" applyNumberFormat="1" applyFont="1" applyFill="1" applyBorder="1" applyAlignment="1">
      <alignment horizontal="center" vertical="center"/>
    </xf>
    <xf numFmtId="164" fontId="4" fillId="0" borderId="15" xfId="1" applyNumberFormat="1" applyFont="1" applyFill="1" applyBorder="1" applyAlignment="1">
      <alignment horizontal="center" vertical="center" wrapText="1"/>
    </xf>
    <xf numFmtId="1" fontId="3" fillId="0" borderId="15" xfId="1" applyNumberFormat="1" applyFont="1" applyFill="1" applyBorder="1" applyAlignment="1">
      <alignment vertical="center"/>
    </xf>
    <xf numFmtId="44" fontId="3" fillId="0" borderId="15" xfId="221" applyFont="1" applyFill="1" applyBorder="1" applyAlignment="1">
      <alignment vertical="center"/>
    </xf>
    <xf numFmtId="164" fontId="4" fillId="0" borderId="10" xfId="1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7" borderId="8" xfId="0" applyFont="1" applyFill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14" fontId="4" fillId="0" borderId="8" xfId="0" applyNumberFormat="1" applyFont="1" applyBorder="1" applyAlignment="1">
      <alignment horizontal="center" vertical="center"/>
    </xf>
    <xf numFmtId="164" fontId="4" fillId="9" borderId="27" xfId="1" applyNumberFormat="1" applyFont="1" applyFill="1" applyBorder="1" applyAlignment="1">
      <alignment vertical="center"/>
    </xf>
    <xf numFmtId="164" fontId="4" fillId="0" borderId="27" xfId="1" applyNumberFormat="1" applyFont="1" applyBorder="1" applyAlignment="1">
      <alignment horizontal="right" vertical="center"/>
    </xf>
    <xf numFmtId="164" fontId="4" fillId="9" borderId="28" xfId="1" applyNumberFormat="1" applyFont="1" applyFill="1" applyBorder="1" applyAlignment="1">
      <alignment vertical="center" wrapText="1"/>
    </xf>
    <xf numFmtId="164" fontId="4" fillId="9" borderId="29" xfId="1" applyNumberFormat="1" applyFont="1" applyFill="1" applyBorder="1" applyAlignment="1">
      <alignment vertical="center"/>
    </xf>
    <xf numFmtId="0" fontId="14" fillId="10" borderId="2" xfId="0" applyFont="1" applyFill="1" applyBorder="1" applyAlignment="1"/>
    <xf numFmtId="0" fontId="14" fillId="10" borderId="8" xfId="0" applyFont="1" applyFill="1" applyBorder="1" applyAlignment="1">
      <alignment wrapText="1"/>
    </xf>
    <xf numFmtId="0" fontId="14" fillId="10" borderId="8" xfId="0" applyFont="1" applyFill="1" applyBorder="1" applyAlignment="1">
      <alignment horizontal="left" vertical="center"/>
    </xf>
    <xf numFmtId="0" fontId="14" fillId="10" borderId="8" xfId="0" applyFont="1" applyFill="1" applyBorder="1" applyAlignment="1">
      <alignment horizontal="left"/>
    </xf>
    <xf numFmtId="0" fontId="14" fillId="10" borderId="8" xfId="0" applyFont="1" applyFill="1" applyBorder="1" applyAlignment="1">
      <alignment vertical="center"/>
    </xf>
    <xf numFmtId="0" fontId="14" fillId="10" borderId="8" xfId="0" applyFont="1" applyFill="1" applyBorder="1"/>
    <xf numFmtId="168" fontId="14" fillId="10" borderId="8" xfId="0" applyNumberFormat="1" applyFont="1" applyFill="1" applyBorder="1" applyAlignment="1">
      <alignment horizontal="left" vertical="center"/>
    </xf>
    <xf numFmtId="167" fontId="14" fillId="10" borderId="8" xfId="0" applyNumberFormat="1" applyFont="1" applyFill="1" applyBorder="1" applyAlignment="1">
      <alignment horizontal="center" vertical="center"/>
    </xf>
    <xf numFmtId="168" fontId="14" fillId="10" borderId="8" xfId="0" applyNumberFormat="1" applyFont="1" applyFill="1" applyBorder="1" applyAlignment="1">
      <alignment vertical="center"/>
    </xf>
    <xf numFmtId="165" fontId="14" fillId="10" borderId="13" xfId="0" applyNumberFormat="1" applyFont="1" applyFill="1" applyBorder="1" applyAlignment="1">
      <alignment horizontal="left" vertical="center"/>
    </xf>
    <xf numFmtId="0" fontId="14" fillId="10" borderId="13" xfId="0" applyFont="1" applyFill="1" applyBorder="1" applyAlignment="1">
      <alignment horizontal="left" vertical="center" wrapText="1"/>
    </xf>
    <xf numFmtId="0" fontId="14" fillId="10" borderId="13" xfId="0" applyFont="1" applyFill="1" applyBorder="1" applyAlignment="1">
      <alignment wrapText="1"/>
    </xf>
    <xf numFmtId="0" fontId="13" fillId="0" borderId="8" xfId="0" applyFont="1" applyFill="1" applyBorder="1" applyAlignment="1">
      <alignment wrapText="1"/>
    </xf>
    <xf numFmtId="0" fontId="14" fillId="10" borderId="2" xfId="0" applyFont="1" applyFill="1" applyBorder="1" applyAlignment="1">
      <alignment wrapText="1"/>
    </xf>
    <xf numFmtId="1" fontId="14" fillId="10" borderId="8" xfId="0" applyNumberFormat="1" applyFont="1" applyFill="1" applyBorder="1" applyAlignment="1">
      <alignment wrapText="1"/>
    </xf>
    <xf numFmtId="164" fontId="14" fillId="10" borderId="8" xfId="1" applyNumberFormat="1" applyFont="1" applyFill="1" applyBorder="1" applyAlignment="1">
      <alignment wrapText="1"/>
    </xf>
    <xf numFmtId="164" fontId="14" fillId="10" borderId="25" xfId="1" applyNumberFormat="1" applyFont="1" applyFill="1" applyBorder="1" applyAlignment="1">
      <alignment wrapText="1"/>
    </xf>
    <xf numFmtId="0" fontId="14" fillId="0" borderId="3" xfId="0" applyFont="1" applyFill="1" applyBorder="1" applyAlignment="1"/>
    <xf numFmtId="0" fontId="13" fillId="0" borderId="0" xfId="0" applyFont="1" applyFill="1" applyBorder="1" applyAlignment="1">
      <alignment wrapText="1"/>
    </xf>
    <xf numFmtId="1" fontId="14" fillId="0" borderId="0" xfId="0" applyNumberFormat="1" applyFont="1" applyFill="1" applyBorder="1" applyAlignment="1">
      <alignment wrapText="1"/>
    </xf>
    <xf numFmtId="164" fontId="14" fillId="0" borderId="18" xfId="1" applyNumberFormat="1" applyFont="1" applyFill="1" applyBorder="1" applyAlignment="1">
      <alignment wrapText="1"/>
    </xf>
    <xf numFmtId="0" fontId="14" fillId="10" borderId="3" xfId="0" applyFont="1" applyFill="1" applyBorder="1" applyAlignment="1"/>
    <xf numFmtId="1" fontId="14" fillId="10" borderId="0" xfId="0" applyNumberFormat="1" applyFont="1" applyFill="1" applyBorder="1" applyAlignment="1">
      <alignment wrapText="1"/>
    </xf>
    <xf numFmtId="164" fontId="14" fillId="10" borderId="18" xfId="1" applyNumberFormat="1" applyFont="1" applyFill="1" applyBorder="1" applyAlignment="1">
      <alignment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1" fontId="3" fillId="0" borderId="0" xfId="1" applyNumberFormat="1" applyFont="1" applyBorder="1" applyAlignment="1">
      <alignment vertical="center"/>
    </xf>
    <xf numFmtId="164" fontId="3" fillId="0" borderId="18" xfId="1" applyNumberFormat="1" applyFont="1" applyBorder="1" applyAlignment="1">
      <alignment vertical="center"/>
    </xf>
    <xf numFmtId="0" fontId="3" fillId="10" borderId="3" xfId="0" applyFont="1" applyFill="1" applyBorder="1" applyAlignment="1">
      <alignment horizontal="center"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horizontal="left" vertical="center" wrapText="1"/>
    </xf>
    <xf numFmtId="0" fontId="3" fillId="10" borderId="0" xfId="0" applyFont="1" applyFill="1" applyBorder="1" applyAlignment="1">
      <alignment horizontal="center" vertical="center" wrapText="1"/>
    </xf>
    <xf numFmtId="0" fontId="3" fillId="10" borderId="0" xfId="0" applyFont="1" applyFill="1" applyBorder="1" applyAlignment="1">
      <alignment vertical="center" wrapText="1"/>
    </xf>
    <xf numFmtId="14" fontId="3" fillId="10" borderId="0" xfId="0" applyNumberFormat="1" applyFont="1" applyFill="1" applyBorder="1" applyAlignment="1">
      <alignment horizontal="center" vertical="center"/>
    </xf>
    <xf numFmtId="0" fontId="3" fillId="10" borderId="0" xfId="0" applyFont="1" applyFill="1" applyBorder="1" applyAlignment="1">
      <alignment horizontal="center" vertical="center"/>
    </xf>
    <xf numFmtId="164" fontId="3" fillId="0" borderId="0" xfId="1" applyNumberFormat="1" applyFont="1" applyBorder="1" applyAlignment="1">
      <alignment horizontal="right" vertical="center"/>
    </xf>
    <xf numFmtId="1" fontId="3" fillId="10" borderId="0" xfId="1" applyNumberFormat="1" applyFont="1" applyFill="1" applyBorder="1" applyAlignment="1">
      <alignment vertical="center"/>
    </xf>
    <xf numFmtId="164" fontId="3" fillId="10" borderId="18" xfId="1" applyNumberFormat="1" applyFont="1" applyFill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3" fillId="0" borderId="19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 wrapText="1"/>
    </xf>
    <xf numFmtId="14" fontId="3" fillId="0" borderId="19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64" fontId="3" fillId="0" borderId="19" xfId="1" applyNumberFormat="1" applyFont="1" applyBorder="1" applyAlignment="1">
      <alignment vertical="center"/>
    </xf>
    <xf numFmtId="164" fontId="10" fillId="0" borderId="19" xfId="1" applyNumberFormat="1" applyFont="1" applyBorder="1" applyAlignment="1">
      <alignment horizontal="right" vertical="center"/>
    </xf>
    <xf numFmtId="164" fontId="6" fillId="0" borderId="19" xfId="1" applyNumberFormat="1" applyFont="1" applyBorder="1" applyAlignment="1">
      <alignment horizontal="center" vertical="center" wrapText="1"/>
    </xf>
    <xf numFmtId="164" fontId="3" fillId="0" borderId="30" xfId="1" applyNumberFormat="1" applyFont="1" applyBorder="1" applyAlignment="1">
      <alignment vertical="center"/>
    </xf>
    <xf numFmtId="1" fontId="3" fillId="0" borderId="19" xfId="1" applyNumberFormat="1" applyFont="1" applyBorder="1" applyAlignment="1">
      <alignment vertical="center"/>
    </xf>
    <xf numFmtId="164" fontId="3" fillId="0" borderId="31" xfId="1" applyNumberFormat="1" applyFont="1" applyBorder="1" applyAlignment="1">
      <alignment vertical="center"/>
    </xf>
    <xf numFmtId="164" fontId="3" fillId="8" borderId="7" xfId="1" applyNumberFormat="1" applyFont="1" applyFill="1" applyBorder="1" applyAlignment="1">
      <alignment vertical="center"/>
    </xf>
    <xf numFmtId="164" fontId="3" fillId="8" borderId="26" xfId="1" applyNumberFormat="1" applyFont="1" applyFill="1" applyBorder="1" applyAlignment="1">
      <alignment vertical="center"/>
    </xf>
    <xf numFmtId="165" fontId="3" fillId="8" borderId="26" xfId="1" applyNumberFormat="1" applyFont="1" applyFill="1" applyBorder="1" applyAlignment="1">
      <alignment vertical="center"/>
    </xf>
    <xf numFmtId="164" fontId="3" fillId="8" borderId="12" xfId="1" applyNumberFormat="1" applyFont="1" applyFill="1" applyBorder="1" applyAlignment="1">
      <alignment vertical="center"/>
    </xf>
    <xf numFmtId="164" fontId="10" fillId="0" borderId="6" xfId="1" applyNumberFormat="1" applyFont="1" applyBorder="1" applyAlignment="1">
      <alignment horizontal="right" vertical="center"/>
    </xf>
    <xf numFmtId="164" fontId="6" fillId="0" borderId="6" xfId="1" applyNumberFormat="1" applyFont="1" applyBorder="1" applyAlignment="1">
      <alignment horizontal="center" vertical="center" wrapText="1"/>
    </xf>
    <xf numFmtId="164" fontId="6" fillId="0" borderId="24" xfId="1" applyNumberFormat="1" applyFont="1" applyBorder="1" applyAlignment="1">
      <alignment horizontal="right" vertical="center" wrapText="1"/>
    </xf>
    <xf numFmtId="164" fontId="6" fillId="0" borderId="24" xfId="1" applyNumberFormat="1" applyFont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vertical="center"/>
    </xf>
    <xf numFmtId="14" fontId="4" fillId="0" borderId="24" xfId="0" applyNumberFormat="1" applyFont="1" applyFill="1" applyBorder="1" applyAlignment="1">
      <alignment horizontal="center" vertical="center" wrapText="1"/>
    </xf>
    <xf numFmtId="164" fontId="4" fillId="0" borderId="24" xfId="1" applyNumberFormat="1" applyFont="1" applyFill="1" applyBorder="1" applyAlignment="1">
      <alignment vertical="center" wrapText="1"/>
    </xf>
    <xf numFmtId="164" fontId="6" fillId="0" borderId="24" xfId="1" applyNumberFormat="1" applyFont="1" applyFill="1" applyBorder="1" applyAlignment="1">
      <alignment horizontal="right" vertical="center" wrapText="1"/>
    </xf>
    <xf numFmtId="164" fontId="6" fillId="0" borderId="24" xfId="1" applyNumberFormat="1" applyFont="1" applyFill="1" applyBorder="1" applyAlignment="1">
      <alignment horizontal="center" vertical="center" wrapText="1"/>
    </xf>
    <xf numFmtId="1" fontId="4" fillId="0" borderId="24" xfId="1" applyNumberFormat="1" applyFont="1" applyFill="1" applyBorder="1" applyAlignment="1">
      <alignment vertical="center" wrapText="1"/>
    </xf>
    <xf numFmtId="164" fontId="4" fillId="0" borderId="23" xfId="1" applyNumberFormat="1" applyFont="1" applyFill="1" applyBorder="1" applyAlignment="1">
      <alignment vertical="center" wrapText="1"/>
    </xf>
    <xf numFmtId="165" fontId="6" fillId="0" borderId="19" xfId="1" applyNumberFormat="1" applyFont="1" applyBorder="1" applyAlignment="1">
      <alignment horizontal="right" vertical="center" wrapText="1"/>
    </xf>
    <xf numFmtId="164" fontId="6" fillId="0" borderId="19" xfId="1" applyNumberFormat="1" applyFont="1" applyBorder="1" applyAlignment="1">
      <alignment horizontal="right" vertical="center"/>
    </xf>
    <xf numFmtId="164" fontId="4" fillId="0" borderId="19" xfId="1" applyNumberFormat="1" applyFont="1" applyBorder="1" applyAlignment="1">
      <alignment vertical="center"/>
    </xf>
    <xf numFmtId="164" fontId="4" fillId="0" borderId="19" xfId="1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3" fillId="10" borderId="0" xfId="0" applyFont="1" applyFill="1" applyBorder="1" applyAlignment="1">
      <alignment horizontal="center" vertical="center"/>
    </xf>
    <xf numFmtId="164" fontId="4" fillId="0" borderId="5" xfId="1" applyNumberFormat="1" applyFont="1" applyBorder="1" applyAlignment="1">
      <alignment horizontal="center" vertical="center" wrapText="1"/>
    </xf>
    <xf numFmtId="164" fontId="4" fillId="0" borderId="10" xfId="1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7" xfId="1" applyNumberFormat="1" applyFont="1" applyBorder="1" applyAlignment="1">
      <alignment horizontal="center" vertical="center" wrapText="1"/>
    </xf>
    <xf numFmtId="164" fontId="4" fillId="0" borderId="12" xfId="1" applyNumberFormat="1" applyFont="1" applyBorder="1" applyAlignment="1">
      <alignment horizontal="center" vertical="center" wrapText="1"/>
    </xf>
    <xf numFmtId="164" fontId="4" fillId="0" borderId="6" xfId="1" applyNumberFormat="1" applyFont="1" applyBorder="1" applyAlignment="1">
      <alignment horizontal="center" vertical="center" wrapText="1"/>
    </xf>
    <xf numFmtId="164" fontId="4" fillId="0" borderId="11" xfId="1" applyNumberFormat="1" applyFont="1" applyBorder="1" applyAlignment="1">
      <alignment horizontal="center" vertical="center" wrapText="1"/>
    </xf>
    <xf numFmtId="1" fontId="4" fillId="0" borderId="5" xfId="1" applyNumberFormat="1" applyFont="1" applyBorder="1" applyAlignment="1">
      <alignment horizontal="center" vertical="center" wrapText="1"/>
    </xf>
    <xf numFmtId="1" fontId="4" fillId="0" borderId="10" xfId="1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165" fontId="6" fillId="0" borderId="0" xfId="1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166" fontId="31" fillId="0" borderId="0" xfId="0" applyNumberFormat="1" applyFont="1" applyFill="1" applyBorder="1" applyAlignment="1">
      <alignment horizontal="left" vertical="center"/>
    </xf>
  </cellXfs>
  <cellStyles count="222">
    <cellStyle name="Accent2 2" xfId="3"/>
    <cellStyle name="Bad 2" xfId="4"/>
    <cellStyle name="Bad 3" xfId="5"/>
    <cellStyle name="Comma" xfId="1" builtinId="3"/>
    <cellStyle name="Comma 10" xfId="6"/>
    <cellStyle name="Comma 11" xfId="7"/>
    <cellStyle name="Comma 12" xfId="8"/>
    <cellStyle name="Comma 13" xfId="9"/>
    <cellStyle name="Comma 14" xfId="10"/>
    <cellStyle name="Comma 15" xfId="11"/>
    <cellStyle name="Comma 16" xfId="12"/>
    <cellStyle name="Comma 17" xfId="13"/>
    <cellStyle name="Comma 2" xfId="14"/>
    <cellStyle name="Comma 2 2" xfId="15"/>
    <cellStyle name="Comma 2 2 2" xfId="16"/>
    <cellStyle name="Comma 2 3" xfId="17"/>
    <cellStyle name="Comma 2 3 2" xfId="18"/>
    <cellStyle name="Comma 2 4" xfId="19"/>
    <cellStyle name="Comma 2 5" xfId="20"/>
    <cellStyle name="Comma 2 6" xfId="21"/>
    <cellStyle name="Comma 2 7" xfId="22"/>
    <cellStyle name="Comma 2 8" xfId="23"/>
    <cellStyle name="Comma 3" xfId="24"/>
    <cellStyle name="Comma 3 2" xfId="25"/>
    <cellStyle name="Comma 3 2 2" xfId="26"/>
    <cellStyle name="Comma 3 2 2 2" xfId="27"/>
    <cellStyle name="Comma 3 3" xfId="28"/>
    <cellStyle name="Comma 3 4" xfId="29"/>
    <cellStyle name="Comma 3 5" xfId="30"/>
    <cellStyle name="Comma 4 2" xfId="31"/>
    <cellStyle name="Comma 4 2 2" xfId="32"/>
    <cellStyle name="Comma 4 2 3" xfId="33"/>
    <cellStyle name="Comma 4 3" xfId="34"/>
    <cellStyle name="Comma 4 3 2" xfId="35"/>
    <cellStyle name="Comma 4 4" xfId="36"/>
    <cellStyle name="Comma 5" xfId="37"/>
    <cellStyle name="Comma 6" xfId="38"/>
    <cellStyle name="Comma 6 2" xfId="39"/>
    <cellStyle name="Comma 7" xfId="40"/>
    <cellStyle name="Comma 7 2" xfId="41"/>
    <cellStyle name="Comma 8" xfId="42"/>
    <cellStyle name="Comma 8 2" xfId="43"/>
    <cellStyle name="Comma 9" xfId="44"/>
    <cellStyle name="Comma0" xfId="45"/>
    <cellStyle name="Currency" xfId="221" builtinId="4"/>
    <cellStyle name="Currency 10" xfId="46"/>
    <cellStyle name="Currency 11" xfId="47"/>
    <cellStyle name="Currency 12" xfId="48"/>
    <cellStyle name="Currency 13" xfId="49"/>
    <cellStyle name="Currency 14" xfId="50"/>
    <cellStyle name="Currency 15" xfId="51"/>
    <cellStyle name="Currency 2" xfId="52"/>
    <cellStyle name="Currency 2 2" xfId="53"/>
    <cellStyle name="Currency 2 2 2" xfId="54"/>
    <cellStyle name="Currency 2 3" xfId="55"/>
    <cellStyle name="Currency 2 3 2" xfId="56"/>
    <cellStyle name="Currency 2 4" xfId="57"/>
    <cellStyle name="Currency 2 4 2" xfId="58"/>
    <cellStyle name="Currency 2 5" xfId="59"/>
    <cellStyle name="Currency 2 6" xfId="60"/>
    <cellStyle name="Currency 2 7" xfId="61"/>
    <cellStyle name="Currency 2 8" xfId="62"/>
    <cellStyle name="Currency 3" xfId="63"/>
    <cellStyle name="Currency 4" xfId="64"/>
    <cellStyle name="Currency 5" xfId="65"/>
    <cellStyle name="Currency 6" xfId="66"/>
    <cellStyle name="Currency 7" xfId="67"/>
    <cellStyle name="Currency 8" xfId="68"/>
    <cellStyle name="Currency 9" xfId="69"/>
    <cellStyle name="Currency0" xfId="70"/>
    <cellStyle name="Date" xfId="71"/>
    <cellStyle name="Fixed" xfId="72"/>
    <cellStyle name="Good 2" xfId="73"/>
    <cellStyle name="Ian" xfId="74"/>
    <cellStyle name="Neutral 2" xfId="75"/>
    <cellStyle name="Normal" xfId="0" builtinId="0"/>
    <cellStyle name="Normal 10" xfId="76"/>
    <cellStyle name="Normal 10 10" xfId="77"/>
    <cellStyle name="Normal 10 10 2" xfId="78"/>
    <cellStyle name="Normal 10 2" xfId="79"/>
    <cellStyle name="Normal 10 3" xfId="80"/>
    <cellStyle name="Normal 10 4" xfId="81"/>
    <cellStyle name="Normal 10 5" xfId="82"/>
    <cellStyle name="Normal 10 6" xfId="83"/>
    <cellStyle name="Normal 10 7" xfId="84"/>
    <cellStyle name="Normal 11" xfId="85"/>
    <cellStyle name="Normal 11 2" xfId="86"/>
    <cellStyle name="Normal 11 3" xfId="87"/>
    <cellStyle name="Normal 11 4" xfId="88"/>
    <cellStyle name="Normal 11 5" xfId="89"/>
    <cellStyle name="Normal 11 6" xfId="90"/>
    <cellStyle name="Normal 11 7" xfId="91"/>
    <cellStyle name="Normal 12" xfId="92"/>
    <cellStyle name="Normal 12 2" xfId="93"/>
    <cellStyle name="Normal 12 3" xfId="94"/>
    <cellStyle name="Normal 12 4" xfId="95"/>
    <cellStyle name="Normal 12 5" xfId="96"/>
    <cellStyle name="Normal 12 6" xfId="97"/>
    <cellStyle name="Normal 12 7" xfId="98"/>
    <cellStyle name="Normal 13" xfId="99"/>
    <cellStyle name="Normal 13 10" xfId="100"/>
    <cellStyle name="Normal 13 2" xfId="101"/>
    <cellStyle name="Normal 13 3" xfId="102"/>
    <cellStyle name="Normal 13 4" xfId="103"/>
    <cellStyle name="Normal 13 5" xfId="104"/>
    <cellStyle name="Normal 13 6" xfId="105"/>
    <cellStyle name="Normal 13 7" xfId="106"/>
    <cellStyle name="Normal 14" xfId="107"/>
    <cellStyle name="Normal 14 10" xfId="108"/>
    <cellStyle name="Normal 15" xfId="109"/>
    <cellStyle name="Normal 15 10" xfId="110"/>
    <cellStyle name="Normal 16" xfId="111"/>
    <cellStyle name="Normal 17 2" xfId="112"/>
    <cellStyle name="Normal 18 2" xfId="113"/>
    <cellStyle name="Normal 2" xfId="114"/>
    <cellStyle name="Normal 2 10" xfId="115"/>
    <cellStyle name="Normal 2 11" xfId="116"/>
    <cellStyle name="Normal 2 12" xfId="117"/>
    <cellStyle name="Normal 2 13" xfId="118"/>
    <cellStyle name="Normal 2 14" xfId="119"/>
    <cellStyle name="Normal 2 15" xfId="120"/>
    <cellStyle name="Normal 2 16" xfId="121"/>
    <cellStyle name="Normal 2 17" xfId="122"/>
    <cellStyle name="Normal 2 18" xfId="123"/>
    <cellStyle name="Normal 2 19" xfId="124"/>
    <cellStyle name="Normal 2 19 2" xfId="125"/>
    <cellStyle name="Normal 2 2" xfId="126"/>
    <cellStyle name="Normal 2 2 2" xfId="127"/>
    <cellStyle name="Normal 2 2 2 2" xfId="128"/>
    <cellStyle name="Normal 2 2 3" xfId="129"/>
    <cellStyle name="Normal 2 2 4" xfId="130"/>
    <cellStyle name="Normal 2 2 5" xfId="131"/>
    <cellStyle name="Normal 2 2 6" xfId="132"/>
    <cellStyle name="Normal 2 2 7" xfId="133"/>
    <cellStyle name="Normal 2 2 8" xfId="134"/>
    <cellStyle name="Normal 2 20" xfId="135"/>
    <cellStyle name="Normal 2 20 2" xfId="136"/>
    <cellStyle name="Normal 2 21" xfId="137"/>
    <cellStyle name="Normal 2 21 2" xfId="138"/>
    <cellStyle name="Normal 2 22" xfId="139"/>
    <cellStyle name="Normal 2 22 2" xfId="140"/>
    <cellStyle name="Normal 2 23" xfId="141"/>
    <cellStyle name="Normal 2 24" xfId="142"/>
    <cellStyle name="Normal 2 25" xfId="143"/>
    <cellStyle name="Normal 2 26" xfId="144"/>
    <cellStyle name="Normal 2 3" xfId="145"/>
    <cellStyle name="Normal 2 3 2" xfId="146"/>
    <cellStyle name="Normal 2 4" xfId="147"/>
    <cellStyle name="Normal 2 5" xfId="148"/>
    <cellStyle name="Normal 2 6" xfId="149"/>
    <cellStyle name="Normal 2 7" xfId="150"/>
    <cellStyle name="Normal 2 8" xfId="151"/>
    <cellStyle name="Normal 2 9" xfId="152"/>
    <cellStyle name="Normal 2_Infrastructure_Scorecard_Nov_2010_-_Health" xfId="153"/>
    <cellStyle name="Normal 28" xfId="154"/>
    <cellStyle name="Normal 3" xfId="155"/>
    <cellStyle name="Normal 3 10" xfId="156"/>
    <cellStyle name="Normal 3 11" xfId="157"/>
    <cellStyle name="Normal 3 12" xfId="158"/>
    <cellStyle name="Normal 3 13" xfId="159"/>
    <cellStyle name="Normal 3 14" xfId="160"/>
    <cellStyle name="Normal 3 15" xfId="161"/>
    <cellStyle name="Normal 3 16" xfId="162"/>
    <cellStyle name="Normal 3 17" xfId="163"/>
    <cellStyle name="Normal 3 18" xfId="164"/>
    <cellStyle name="Normal 3 2" xfId="165"/>
    <cellStyle name="Normal 3 2 2" xfId="166"/>
    <cellStyle name="Normal 3 2 3" xfId="167"/>
    <cellStyle name="Normal 3 3" xfId="168"/>
    <cellStyle name="Normal 3 4" xfId="169"/>
    <cellStyle name="Normal 3 5" xfId="170"/>
    <cellStyle name="Normal 3 6" xfId="171"/>
    <cellStyle name="Normal 3 7" xfId="172"/>
    <cellStyle name="Normal 3 8" xfId="173"/>
    <cellStyle name="Normal 3 9" xfId="174"/>
    <cellStyle name="Normal 4" xfId="175"/>
    <cellStyle name="Normal 4 2" xfId="176"/>
    <cellStyle name="Normal 4 3" xfId="177"/>
    <cellStyle name="Normal 4 4" xfId="178"/>
    <cellStyle name="Normal 4 5" xfId="179"/>
    <cellStyle name="Normal 4 6" xfId="180"/>
    <cellStyle name="Normal 4 7" xfId="181"/>
    <cellStyle name="Normal 4 8" xfId="182"/>
    <cellStyle name="Normal 5" xfId="183"/>
    <cellStyle name="Normal 5 13" xfId="184"/>
    <cellStyle name="Normal 5 2" xfId="185"/>
    <cellStyle name="Normal 6" xfId="186"/>
    <cellStyle name="Normal 6 2" xfId="187"/>
    <cellStyle name="Normal 6 2 2" xfId="188"/>
    <cellStyle name="Normal 6 3" xfId="189"/>
    <cellStyle name="Normal 7" xfId="190"/>
    <cellStyle name="Normal 7 10" xfId="191"/>
    <cellStyle name="Normal 7 2" xfId="192"/>
    <cellStyle name="Normal 7 2 2" xfId="193"/>
    <cellStyle name="Normal 8" xfId="194"/>
    <cellStyle name="Normal 8 10" xfId="195"/>
    <cellStyle name="Normal 8 2" xfId="196"/>
    <cellStyle name="Normal 9" xfId="197"/>
    <cellStyle name="Normal 9 18" xfId="198"/>
    <cellStyle name="Normal 9 2" xfId="199"/>
    <cellStyle name="Note 2" xfId="200"/>
    <cellStyle name="Percent" xfId="2" builtinId="5"/>
    <cellStyle name="Percent 2" xfId="201"/>
    <cellStyle name="Percent 2 2" xfId="202"/>
    <cellStyle name="Percent 2 2 2" xfId="203"/>
    <cellStyle name="Percent 2 3" xfId="204"/>
    <cellStyle name="Percent 2 4" xfId="205"/>
    <cellStyle name="Percent 2 5" xfId="206"/>
    <cellStyle name="Percent 2 6" xfId="207"/>
    <cellStyle name="Percent 2 7" xfId="208"/>
    <cellStyle name="Percent 3" xfId="209"/>
    <cellStyle name="Percent 3 2" xfId="210"/>
    <cellStyle name="Percent 3 2 2" xfId="211"/>
    <cellStyle name="Percent 4" xfId="212"/>
    <cellStyle name="Percent 4 2" xfId="213"/>
    <cellStyle name="Percent 5" xfId="214"/>
    <cellStyle name="Percent 6" xfId="215"/>
    <cellStyle name="Percent 7" xfId="216"/>
    <cellStyle name="Percent 8" xfId="217"/>
    <cellStyle name="Percent 9" xfId="218"/>
    <cellStyle name="Style 1" xfId="219"/>
    <cellStyle name="T.b.a." xfId="2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1105370</xdr:colOff>
      <xdr:row>13</xdr:row>
      <xdr:rowOff>164630</xdr:rowOff>
    </xdr:to>
    <xdr:pic>
      <xdr:nvPicPr>
        <xdr:cNvPr id="2" name="Picture 1" descr="MPU logo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25185" cy="298685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538"/>
  <sheetViews>
    <sheetView tabSelected="1" view="pageBreakPreview" topLeftCell="D1" zoomScale="81" zoomScaleNormal="65" zoomScaleSheetLayoutView="81" workbookViewId="0">
      <selection activeCell="L19" sqref="L19:L20"/>
    </sheetView>
  </sheetViews>
  <sheetFormatPr defaultRowHeight="15"/>
  <cols>
    <col min="1" max="1" width="14" style="4" customWidth="1"/>
    <col min="2" max="2" width="14" style="2" customWidth="1"/>
    <col min="3" max="3" width="19.5703125" style="3" customWidth="1"/>
    <col min="4" max="5" width="14" style="4" customWidth="1"/>
    <col min="6" max="7" width="15.5703125" style="4" customWidth="1"/>
    <col min="8" max="8" width="14" style="5" customWidth="1"/>
    <col min="9" max="9" width="17.42578125" style="6" customWidth="1"/>
    <col min="10" max="10" width="20" style="2" customWidth="1"/>
    <col min="11" max="11" width="21" style="2" customWidth="1"/>
    <col min="12" max="12" width="20.85546875" style="7" customWidth="1"/>
    <col min="13" max="13" width="15.42578125" style="5" customWidth="1"/>
    <col min="14" max="14" width="15.42578125" style="7" customWidth="1"/>
    <col min="15" max="15" width="18.7109375" style="2" customWidth="1"/>
    <col min="16" max="16" width="32.42578125" style="5" customWidth="1"/>
    <col min="17" max="17" width="16.42578125" style="87" customWidth="1"/>
    <col min="18" max="18" width="16.7109375" style="87" customWidth="1"/>
    <col min="19" max="19" width="15.140625" style="4" customWidth="1"/>
    <col min="20" max="20" width="20" style="81" customWidth="1"/>
    <col min="21" max="21" width="22.140625" style="55" hidden="1" customWidth="1"/>
    <col min="22" max="22" width="0.140625" style="13" hidden="1" customWidth="1"/>
    <col min="23" max="23" width="20.42578125" style="79" customWidth="1"/>
    <col min="24" max="24" width="21.140625" style="80" customWidth="1"/>
    <col min="25" max="25" width="25.42578125" style="95" customWidth="1"/>
    <col min="26" max="26" width="25.28515625" style="81" customWidth="1"/>
    <col min="27" max="29" width="24.42578125" style="81" customWidth="1"/>
    <col min="30" max="30" width="24" style="81" customWidth="1"/>
    <col min="31" max="31" width="24.42578125" style="81" customWidth="1"/>
    <col min="32" max="33" width="24" style="81" customWidth="1"/>
    <col min="34" max="34" width="9.85546875" style="2" bestFit="1" customWidth="1"/>
    <col min="35" max="35" width="9.140625" style="2"/>
    <col min="36" max="36" width="10.7109375" style="2" bestFit="1" customWidth="1"/>
    <col min="37" max="37" width="11.28515625" style="2" bestFit="1" customWidth="1"/>
    <col min="38" max="38" width="11.5703125" style="2" bestFit="1" customWidth="1"/>
    <col min="39" max="48" width="9.28515625" style="2" bestFit="1" customWidth="1"/>
    <col min="49" max="49" width="10.28515625" style="2" bestFit="1" customWidth="1"/>
    <col min="50" max="50" width="10.140625" style="2" bestFit="1" customWidth="1"/>
    <col min="51" max="51" width="10.28515625" style="2" bestFit="1" customWidth="1"/>
    <col min="52" max="53" width="10.140625" style="2" bestFit="1" customWidth="1"/>
    <col min="54" max="56" width="10.28515625" style="2" bestFit="1" customWidth="1"/>
    <col min="57" max="57" width="10.140625" style="2" bestFit="1" customWidth="1"/>
    <col min="58" max="58" width="10.28515625" style="2" bestFit="1" customWidth="1"/>
    <col min="59" max="59" width="10.7109375" style="2" bestFit="1" customWidth="1"/>
    <col min="60" max="62" width="10.28515625" style="2" bestFit="1" customWidth="1"/>
    <col min="63" max="74" width="10.42578125" style="2" bestFit="1" customWidth="1"/>
    <col min="75" max="16384" width="9.140625" style="2"/>
  </cols>
  <sheetData>
    <row r="1" spans="1:33" s="9" customFormat="1" ht="45.75">
      <c r="A1" s="1"/>
      <c r="B1" s="2"/>
      <c r="C1" s="3"/>
      <c r="D1" s="4"/>
      <c r="E1" s="4"/>
      <c r="F1" s="4"/>
      <c r="G1" s="4"/>
      <c r="H1" s="5"/>
      <c r="I1" s="6"/>
      <c r="J1" s="115" t="s">
        <v>1253</v>
      </c>
      <c r="K1" s="2"/>
      <c r="L1" s="7"/>
      <c r="M1" s="5"/>
      <c r="N1" s="8"/>
      <c r="P1" s="104"/>
      <c r="Q1" s="10"/>
      <c r="R1" s="10" t="s">
        <v>0</v>
      </c>
      <c r="S1" s="112"/>
      <c r="T1" s="14">
        <f>SUM(T22:T527)</f>
        <v>7695414817.7550983</v>
      </c>
      <c r="U1" s="110"/>
      <c r="V1" s="111"/>
      <c r="W1" s="14">
        <f>SUM(W22:W527)</f>
        <v>561870754.22367847</v>
      </c>
      <c r="X1" s="14">
        <f t="shared" ref="X1:AG1" si="0">SUM(X22:X527)</f>
        <v>1105968400.8083043</v>
      </c>
      <c r="Y1" s="14">
        <f t="shared" si="0"/>
        <v>1323305249.7738528</v>
      </c>
      <c r="Z1" s="14">
        <f t="shared" si="0"/>
        <v>1433203965.1131897</v>
      </c>
      <c r="AA1" s="14">
        <f t="shared" si="0"/>
        <v>1506704600.562963</v>
      </c>
      <c r="AB1" s="14">
        <f t="shared" si="0"/>
        <v>1185113057.3451161</v>
      </c>
      <c r="AC1" s="14">
        <f t="shared" si="0"/>
        <v>814080427.90838945</v>
      </c>
      <c r="AD1" s="14">
        <f t="shared" si="0"/>
        <v>433599322.20555031</v>
      </c>
      <c r="AE1" s="14">
        <f t="shared" si="0"/>
        <v>453322576.80230927</v>
      </c>
      <c r="AF1" s="14">
        <f t="shared" si="0"/>
        <v>323525649.11321193</v>
      </c>
      <c r="AG1" s="14">
        <f t="shared" si="0"/>
        <v>371074433.90531474</v>
      </c>
    </row>
    <row r="2" spans="1:33" s="9" customFormat="1" ht="13.5" customHeight="1">
      <c r="A2" s="8"/>
      <c r="L2" s="16"/>
      <c r="N2" s="8"/>
      <c r="P2" s="104"/>
      <c r="Q2" s="10"/>
      <c r="R2" s="10"/>
      <c r="S2" s="112"/>
      <c r="T2" s="14"/>
      <c r="U2" s="12"/>
      <c r="V2" s="13"/>
    </row>
    <row r="3" spans="1:33" s="9" customFormat="1">
      <c r="A3" s="8"/>
      <c r="C3" s="2"/>
      <c r="E3" s="8"/>
      <c r="F3" s="8"/>
      <c r="G3" s="8"/>
      <c r="L3" s="16"/>
      <c r="N3" s="8"/>
      <c r="P3" s="104"/>
      <c r="Q3" s="10"/>
      <c r="R3" s="17"/>
      <c r="S3" s="247" t="s">
        <v>1</v>
      </c>
      <c r="T3" s="247"/>
      <c r="U3" s="12"/>
      <c r="V3" s="13"/>
      <c r="W3" s="18">
        <f>+W33+W46+W57+W58+W59+W60+W73+W90+W91+W92+W94+W96+W136+W138+W139+W141+W142+W143+W144+W145+W146+W147+W148+W149+W150+W151+W152+W153+W154+W155+W156+W157+W158+W159+W160+W161+W162+W163+W164+W165+W166+W167+W168+W169+W170+W171+W172+W173+W174+W175+W208+W209+W211+W215+W216+W217+W218+W219+W220+W221+W222+W223+W224+W225+W226+W227+W228+W229+W230+W231+W232+W233+W234+W235+W236+W237+W238+W239+W240+W241+W242+W245+W246+W247+W248+W249+W252+W255+W256+W265+W271+W272+W273+W274+W275+W276+W277+W278+W279+W280+W281+W282+W283+W284+W285+W286+W336+W337+W338+W339+W340+W341+W342+W343+W344+W434+W435+W436+W437+W438+W439+W440+W441+W442+W443+W444+W445+W446+W447+W448+W449</f>
        <v>160667163</v>
      </c>
      <c r="X3" s="18">
        <f t="shared" ref="X3:AG3" si="1">+X33+X46+X57+X58+X59+X60+X73+X90+X91+X92+X94+X96+X136+X138+X139+X141+X142+X143+X144+X145+X146+X147+X148+X149+X150+X151+X152+X153+X154+X155+X156+X157+X158+X159+X160+X161+X162+X163+X164+X165+X166+X167+X168+X169+X170+X171+X172+X173+X174+X175+X208+X209+X211+X215+X216+X217+X218+X219+X220+X221+X222+X223+X224+X225+X226+X227+X228+X229+X230+X231+X232+X233+X234+X235+X236+X237+X238+X239+X240+X241+X242+X245+X246+X247+X248+X249+X252+X255+X256+X265+X271+X272+X273+X274+X275+X276+X277+X278+X279+X280+X281+X282+X283+X284+X285+X286+X336+X337+X338+X339+X340+X341+X342+X343+X344+X434+X435+X436+X437+X438+X439+X440+X441+X442+X443+X444+X445+X446+X447+X448+X449</f>
        <v>197535950.24234045</v>
      </c>
      <c r="Y3" s="18">
        <f t="shared" si="1"/>
        <v>196129730.54943562</v>
      </c>
      <c r="Z3" s="18">
        <f t="shared" si="1"/>
        <v>164717461.49866119</v>
      </c>
      <c r="AA3" s="18">
        <f t="shared" si="1"/>
        <v>577201286.97569668</v>
      </c>
      <c r="AB3" s="18">
        <f t="shared" si="1"/>
        <v>323702098.42319077</v>
      </c>
      <c r="AC3" s="18">
        <f t="shared" si="1"/>
        <v>209940609.21296406</v>
      </c>
      <c r="AD3" s="18">
        <f t="shared" si="1"/>
        <v>67850440.24952513</v>
      </c>
      <c r="AE3" s="18">
        <f t="shared" si="1"/>
        <v>36312086.565665849</v>
      </c>
      <c r="AF3" s="18">
        <f t="shared" si="1"/>
        <v>25333946.077423651</v>
      </c>
      <c r="AG3" s="18">
        <f t="shared" si="1"/>
        <v>26833615.724007349</v>
      </c>
    </row>
    <row r="4" spans="1:33" s="9" customFormat="1" ht="15" customHeight="1">
      <c r="A4" s="15"/>
      <c r="B4" s="96"/>
      <c r="C4" s="96"/>
      <c r="D4" s="96"/>
      <c r="E4" s="96"/>
      <c r="F4" s="97"/>
      <c r="G4" s="20"/>
      <c r="J4" s="248" t="s">
        <v>1254</v>
      </c>
      <c r="K4" s="248"/>
      <c r="L4" s="248"/>
      <c r="M4" s="248"/>
      <c r="N4" s="248"/>
      <c r="O4" s="248"/>
      <c r="P4" s="104"/>
      <c r="Q4" s="10"/>
      <c r="R4" s="17"/>
      <c r="S4" s="247" t="s">
        <v>2</v>
      </c>
      <c r="T4" s="247"/>
      <c r="U4" s="12"/>
      <c r="V4" s="11"/>
      <c r="W4" s="18">
        <f>+W24+W25+W26+W27+W28+W29+W30+W31+W32+W34+W35+W36+W40+W41+W42+W43+W44+W45+W47+W48+W74+W78+W99+W100+W101+W108+W244+W254+W514+W515+W516+W517+W518+W519+W520+W521+W522+W523+W524+W525+W526+W527</f>
        <v>97443580</v>
      </c>
      <c r="X4" s="18">
        <f t="shared" ref="X4:AG4" si="2">+X24+X25+X26+X27+X28+X29+X30+X31+X32+X34+X35+X36+X40+X41+X42+X43+X44+X45+X47+X48+X74+X78+X99+X100+X101+X108+X244+X254+X514+X515+X516+X517+X518+X519+X520+X521+X522+X523+X524+X525+X526+X527</f>
        <v>131784707.921</v>
      </c>
      <c r="Y4" s="18">
        <f t="shared" si="2"/>
        <v>303405482.95813251</v>
      </c>
      <c r="Z4" s="18">
        <f t="shared" si="2"/>
        <v>418706069.29217201</v>
      </c>
      <c r="AA4" s="18">
        <f t="shared" si="2"/>
        <v>195605191.7245014</v>
      </c>
      <c r="AB4" s="18">
        <f t="shared" si="2"/>
        <v>153971872.62249964</v>
      </c>
      <c r="AC4" s="18">
        <f t="shared" si="2"/>
        <v>148141240.71420419</v>
      </c>
      <c r="AD4" s="18">
        <f t="shared" si="2"/>
        <v>54534893.167745724</v>
      </c>
      <c r="AE4" s="18">
        <f t="shared" si="2"/>
        <v>40248659.316824391</v>
      </c>
      <c r="AF4" s="18">
        <f t="shared" si="2"/>
        <v>9926660.6391982883</v>
      </c>
      <c r="AG4" s="18">
        <f t="shared" si="2"/>
        <v>9178328.9665706325</v>
      </c>
    </row>
    <row r="5" spans="1:33" s="9" customFormat="1" ht="15" customHeight="1">
      <c r="A5" s="96"/>
      <c r="B5" s="96"/>
      <c r="C5" s="96"/>
      <c r="D5" s="96"/>
      <c r="E5" s="96"/>
      <c r="F5" s="97"/>
      <c r="G5" s="20"/>
      <c r="J5" s="248"/>
      <c r="K5" s="248"/>
      <c r="L5" s="248"/>
      <c r="M5" s="248"/>
      <c r="N5" s="248"/>
      <c r="O5" s="248"/>
      <c r="P5" s="104"/>
      <c r="Q5" s="10"/>
      <c r="R5" s="17"/>
      <c r="S5" s="247" t="s">
        <v>3</v>
      </c>
      <c r="T5" s="247"/>
      <c r="U5" s="12"/>
      <c r="V5" s="11"/>
      <c r="W5" s="18">
        <f>+W38+W39</f>
        <v>40078000</v>
      </c>
      <c r="X5" s="18">
        <f>+X38+X39</f>
        <v>135930610</v>
      </c>
      <c r="Y5" s="18">
        <f t="shared" ref="Y5:AG5" si="3">+Y38+Y39</f>
        <v>65777390</v>
      </c>
      <c r="Z5" s="18">
        <f t="shared" si="3"/>
        <v>55380373.983739838</v>
      </c>
      <c r="AA5" s="18">
        <f t="shared" si="3"/>
        <v>0</v>
      </c>
      <c r="AB5" s="18">
        <f t="shared" si="3"/>
        <v>2469950.4065040648</v>
      </c>
      <c r="AC5" s="18">
        <f t="shared" si="3"/>
        <v>0</v>
      </c>
      <c r="AD5" s="18">
        <f t="shared" si="3"/>
        <v>2840442.9674796746</v>
      </c>
      <c r="AE5" s="18">
        <f t="shared" si="3"/>
        <v>0</v>
      </c>
      <c r="AF5" s="18">
        <f t="shared" si="3"/>
        <v>3266509.4126016255</v>
      </c>
      <c r="AG5" s="18">
        <f t="shared" si="3"/>
        <v>0</v>
      </c>
    </row>
    <row r="6" spans="1:33" s="9" customFormat="1" ht="15" customHeight="1">
      <c r="B6" s="96"/>
      <c r="C6" s="96"/>
      <c r="D6" s="96"/>
      <c r="E6" s="96"/>
      <c r="F6" s="97"/>
      <c r="G6" s="20"/>
      <c r="J6" s="248"/>
      <c r="K6" s="248"/>
      <c r="L6" s="248"/>
      <c r="M6" s="248"/>
      <c r="N6" s="248"/>
      <c r="O6" s="248"/>
      <c r="P6" s="104"/>
      <c r="Q6" s="10"/>
      <c r="R6" s="17"/>
      <c r="S6" s="247" t="s">
        <v>4</v>
      </c>
      <c r="T6" s="247"/>
      <c r="U6" s="12"/>
      <c r="V6" s="11"/>
      <c r="W6" s="18">
        <f>+W22+W49+W50+W52+W53+W54+W56+W266</f>
        <v>75882446.659999996</v>
      </c>
      <c r="X6" s="18">
        <f t="shared" ref="X6:AG6" si="4">+X22+X49+X50+X52+X53+X54+X56+X266</f>
        <v>69849921.382553995</v>
      </c>
      <c r="Y6" s="18">
        <f t="shared" si="4"/>
        <v>76347434.532631367</v>
      </c>
      <c r="Z6" s="18">
        <f t="shared" si="4"/>
        <v>50114896.56023334</v>
      </c>
      <c r="AA6" s="18">
        <f t="shared" si="4"/>
        <v>54722192.737864852</v>
      </c>
      <c r="AB6" s="18">
        <f t="shared" si="4"/>
        <v>59797389.880149879</v>
      </c>
      <c r="AC6" s="18">
        <f t="shared" si="4"/>
        <v>66026254.580127299</v>
      </c>
      <c r="AD6" s="18">
        <f t="shared" si="4"/>
        <v>72172690.598965883</v>
      </c>
      <c r="AE6" s="18">
        <f t="shared" si="4"/>
        <v>79676867.260515466</v>
      </c>
      <c r="AF6" s="18">
        <f t="shared" si="4"/>
        <v>87120378.076715678</v>
      </c>
      <c r="AG6" s="18">
        <f t="shared" si="4"/>
        <v>96162832.507651046</v>
      </c>
    </row>
    <row r="7" spans="1:33" s="9" customFormat="1" ht="15" customHeight="1">
      <c r="A7" s="96"/>
      <c r="B7" s="96"/>
      <c r="C7" s="96"/>
      <c r="D7" s="96"/>
      <c r="E7" s="96"/>
      <c r="F7" s="97"/>
      <c r="G7" s="20"/>
      <c r="L7" s="16"/>
      <c r="N7" s="8"/>
      <c r="P7" s="104"/>
      <c r="Q7" s="10"/>
      <c r="R7" s="17"/>
      <c r="S7" s="247" t="s">
        <v>5</v>
      </c>
      <c r="T7" s="247"/>
      <c r="U7" s="12"/>
      <c r="V7" s="11"/>
      <c r="W7" s="18">
        <f>+W23+W85</f>
        <v>13464000</v>
      </c>
      <c r="X7" s="18">
        <f>+X23+X85</f>
        <v>146342918</v>
      </c>
      <c r="Y7" s="18">
        <f t="shared" ref="Y7:AG7" si="5">+Y23+Y85</f>
        <v>111046150</v>
      </c>
      <c r="Z7" s="18">
        <f t="shared" si="5"/>
        <v>13219100</v>
      </c>
      <c r="AA7" s="18">
        <f t="shared" si="5"/>
        <v>0</v>
      </c>
      <c r="AB7" s="18">
        <f t="shared" si="5"/>
        <v>2011137.5</v>
      </c>
      <c r="AC7" s="18">
        <f t="shared" si="5"/>
        <v>0</v>
      </c>
      <c r="AD7" s="18">
        <f t="shared" si="5"/>
        <v>2312808.1249999995</v>
      </c>
      <c r="AE7" s="18">
        <f t="shared" si="5"/>
        <v>0</v>
      </c>
      <c r="AF7" s="18">
        <f t="shared" si="5"/>
        <v>2659729.3437499991</v>
      </c>
      <c r="AG7" s="18">
        <f t="shared" si="5"/>
        <v>0</v>
      </c>
    </row>
    <row r="8" spans="1:33" s="9" customFormat="1" ht="15" customHeight="1">
      <c r="A8" s="96"/>
      <c r="B8" s="96"/>
      <c r="C8" s="96"/>
      <c r="D8" s="96"/>
      <c r="E8" s="96"/>
      <c r="F8" s="97"/>
      <c r="G8" s="20"/>
      <c r="L8" s="116"/>
      <c r="M8" s="116"/>
      <c r="N8" s="8"/>
      <c r="P8" s="104"/>
      <c r="Q8" s="10"/>
      <c r="R8" s="21"/>
      <c r="S8" s="247" t="s">
        <v>6</v>
      </c>
      <c r="T8" s="247"/>
      <c r="U8" s="12"/>
      <c r="V8" s="11"/>
      <c r="W8" s="18">
        <f>+W64+W413+W414+W415+W416+W417+W418+W419+W420+W421+W422+W423+W424+W425+W426+W427+W428+W429+W430+W431+W432</f>
        <v>1832203</v>
      </c>
      <c r="X8" s="18">
        <f>+X64+X413+X414+X415+X416+X417+X418+X419+X420+X421+X422+X423+X424+X425+X426+X427+X428+X429+X430+X431+X432</f>
        <v>3000000</v>
      </c>
      <c r="Y8" s="18">
        <f t="shared" ref="Y8:AG8" si="6">+Y64+Y413+Y414+Y415+Y416+Y417+Y418+Y419+Y420+Y421+Y422+Y423+Y424+Y425+Y426+Y427+Y428+Y429+Y430+Y431+Y432</f>
        <v>3000000</v>
      </c>
      <c r="Z8" s="18">
        <f t="shared" si="6"/>
        <v>0</v>
      </c>
      <c r="AA8" s="18">
        <f t="shared" si="6"/>
        <v>0</v>
      </c>
      <c r="AB8" s="18">
        <f t="shared" si="6"/>
        <v>0</v>
      </c>
      <c r="AC8" s="18">
        <f t="shared" si="6"/>
        <v>0</v>
      </c>
      <c r="AD8" s="18">
        <f t="shared" si="6"/>
        <v>0</v>
      </c>
      <c r="AE8" s="18">
        <f t="shared" si="6"/>
        <v>0</v>
      </c>
      <c r="AF8" s="18">
        <f t="shared" si="6"/>
        <v>0</v>
      </c>
      <c r="AG8" s="18">
        <f t="shared" si="6"/>
        <v>0</v>
      </c>
    </row>
    <row r="9" spans="1:33" s="9" customFormat="1" ht="15" customHeight="1">
      <c r="A9" s="96"/>
      <c r="B9" s="96"/>
      <c r="C9" s="96"/>
      <c r="D9" s="96"/>
      <c r="E9" s="96"/>
      <c r="F9" s="97"/>
      <c r="G9" s="20"/>
      <c r="J9" s="249"/>
      <c r="K9" s="250"/>
      <c r="L9" s="250"/>
      <c r="M9" s="250"/>
      <c r="N9" s="8"/>
      <c r="P9" s="104"/>
      <c r="Q9" s="10"/>
      <c r="S9" s="247" t="s">
        <v>7</v>
      </c>
      <c r="T9" s="247"/>
      <c r="U9" s="12"/>
      <c r="V9" s="11"/>
      <c r="W9" s="18">
        <f>+W55+W61+W76+W135+W137+W409+W410+W411+W412</f>
        <v>25600000</v>
      </c>
      <c r="X9" s="18">
        <f>+X55+X61+X76+X135+X137+X409+X410+X411+X412</f>
        <v>31870460</v>
      </c>
      <c r="Y9" s="18">
        <f t="shared" ref="Y9:AG9" si="7">+Y55+Y61+Y76+Y135+Y137+Y409+Y410+Y411+Y412</f>
        <v>25100000</v>
      </c>
      <c r="Z9" s="18">
        <f t="shared" si="7"/>
        <v>23386751.707317073</v>
      </c>
      <c r="AA9" s="18">
        <f t="shared" si="7"/>
        <v>116000</v>
      </c>
      <c r="AB9" s="18">
        <f t="shared" si="7"/>
        <v>446764.46341463411</v>
      </c>
      <c r="AC9" s="18">
        <f t="shared" si="7"/>
        <v>133400</v>
      </c>
      <c r="AD9" s="18">
        <f t="shared" si="7"/>
        <v>513779.13292682922</v>
      </c>
      <c r="AE9" s="18">
        <f t="shared" si="7"/>
        <v>153410</v>
      </c>
      <c r="AF9" s="18">
        <f t="shared" si="7"/>
        <v>590846.0028658536</v>
      </c>
      <c r="AG9" s="18">
        <f t="shared" si="7"/>
        <v>176421.5</v>
      </c>
    </row>
    <row r="10" spans="1:33" s="9" customFormat="1" ht="15" customHeight="1">
      <c r="A10" s="96"/>
      <c r="B10" s="96"/>
      <c r="C10" s="96"/>
      <c r="D10" s="96"/>
      <c r="E10" s="96"/>
      <c r="F10" s="97"/>
      <c r="G10" s="20"/>
      <c r="J10" s="249"/>
      <c r="K10" s="250"/>
      <c r="L10" s="250"/>
      <c r="M10" s="250"/>
      <c r="N10" s="8"/>
      <c r="P10" s="104"/>
      <c r="Q10" s="10"/>
      <c r="S10" s="247" t="s">
        <v>8</v>
      </c>
      <c r="T10" s="247"/>
      <c r="U10" s="12"/>
      <c r="V10" s="11"/>
      <c r="W10" s="18">
        <f>+W366+W367+W368+W369+W370+W371+W372+W373+W374+W375+W376+W377+W378+W379+W394+W395+W396+W397+W398</f>
        <v>19596108.912</v>
      </c>
      <c r="X10" s="18">
        <f>+X366+X367+X368+X369+X370+X371+X372+X373+X374+X375+X376+X377+X378+X379+X394+X395+X396+X397+X398</f>
        <v>10987629.59643238</v>
      </c>
      <c r="Y10" s="18">
        <f t="shared" ref="Y10:AG10" si="8">+Y366+Y367+Y368+Y369+Y370+Y371+Y372+Y373+Y374+Y375+Y376+Y377+Y378+Y379+Y394+Y395+Y396+Y397+Y398</f>
        <v>21709254.445927624</v>
      </c>
      <c r="Z10" s="18">
        <f t="shared" si="8"/>
        <v>185134.4</v>
      </c>
      <c r="AA10" s="18">
        <f t="shared" si="8"/>
        <v>193214.41254360002</v>
      </c>
      <c r="AB10" s="18">
        <f t="shared" si="8"/>
        <v>212904.55999999997</v>
      </c>
      <c r="AC10" s="18">
        <f t="shared" si="8"/>
        <v>222196.57442514005</v>
      </c>
      <c r="AD10" s="18">
        <f t="shared" si="8"/>
        <v>244840.24399999995</v>
      </c>
      <c r="AE10" s="18">
        <f t="shared" si="8"/>
        <v>255526.060588911</v>
      </c>
      <c r="AF10" s="18">
        <f t="shared" si="8"/>
        <v>281566.28059999994</v>
      </c>
      <c r="AG10" s="18">
        <f t="shared" si="8"/>
        <v>293854.96967724763</v>
      </c>
    </row>
    <row r="11" spans="1:33" s="9" customFormat="1" ht="15" customHeight="1" thickBot="1">
      <c r="A11" s="98"/>
      <c r="B11" s="98"/>
      <c r="C11" s="98"/>
      <c r="D11" s="98"/>
      <c r="E11" s="98"/>
      <c r="F11" s="99"/>
      <c r="G11" s="20"/>
      <c r="J11" s="249"/>
      <c r="K11" s="250"/>
      <c r="L11" s="250"/>
      <c r="M11" s="250"/>
      <c r="N11" s="8"/>
      <c r="P11" s="104"/>
      <c r="Q11" s="10"/>
      <c r="R11" s="31"/>
      <c r="S11" s="247" t="s">
        <v>9</v>
      </c>
      <c r="T11" s="247"/>
      <c r="U11" s="12"/>
      <c r="V11" s="11"/>
      <c r="W11" s="18">
        <f>+W63+W65+W66+W67+W68+W69+W70+W71+W72+W258+W259+W264+W356+W357+W358+W359+W360+W361+W362+W363+W364+W365</f>
        <v>2400092.6040000003</v>
      </c>
      <c r="X11" s="18">
        <f>+X63+X65+X66+X67+X68+X69+X70+X71+X72+X258+X259+X264+X356+X357+X358+X359+X360+X361+X362+X363+X364+X365</f>
        <v>27805471.8906</v>
      </c>
      <c r="Y11" s="18">
        <f t="shared" ref="Y11:AG11" si="9">+Y63+Y65+Y66+Y67+Y68+Y69+Y70+Y71+Y72+Y258+Y259+Y264+Y356+Y357+Y358+Y359+Y360+Y361+Y362+Y363+Y364+Y365</f>
        <v>0</v>
      </c>
      <c r="Z11" s="18">
        <f t="shared" si="9"/>
        <v>338413.057164</v>
      </c>
      <c r="AA11" s="18">
        <f t="shared" si="9"/>
        <v>5815424.3794920007</v>
      </c>
      <c r="AB11" s="18">
        <f t="shared" si="9"/>
        <v>17753484.991788</v>
      </c>
      <c r="AC11" s="18">
        <f t="shared" si="9"/>
        <v>4749783.2633159999</v>
      </c>
      <c r="AD11" s="18">
        <f t="shared" si="9"/>
        <v>168006.48228</v>
      </c>
      <c r="AE11" s="18">
        <f t="shared" si="9"/>
        <v>120004.63020000001</v>
      </c>
      <c r="AF11" s="18">
        <f t="shared" si="9"/>
        <v>51601.990986000004</v>
      </c>
      <c r="AG11" s="18">
        <f t="shared" si="9"/>
        <v>138005.32472999999</v>
      </c>
    </row>
    <row r="12" spans="1:33" s="9" customFormat="1" ht="15" customHeight="1">
      <c r="A12" s="100"/>
      <c r="B12" s="100"/>
      <c r="C12" s="100"/>
      <c r="D12" s="100"/>
      <c r="E12" s="100"/>
      <c r="F12" s="101"/>
      <c r="G12" s="20"/>
      <c r="L12" s="16"/>
      <c r="N12" s="8"/>
      <c r="P12" s="104"/>
      <c r="Q12" s="10"/>
      <c r="R12" s="31"/>
      <c r="S12" s="247" t="s">
        <v>61</v>
      </c>
      <c r="T12" s="247"/>
      <c r="U12" s="12"/>
      <c r="V12" s="11"/>
      <c r="W12" s="18">
        <f>+W37+W75+W77+W79+W80+W81+W82+W83+W84+W86+W88+W89+W93+W95+W97+W102+W104+W105+W106+W107+W109+W110+W111+W112+W113+W114+W115+W116+W117+W118+W119+W120+W121+W122+W123+W124+W125+W126+W127+W128+W130+W131+W134+W140+W176+W207+W212+W213+W214+W243+W250+W251+W253+W260+W261+W262+W267+W287+W288+W289+W290+W291+W292+W293+W294+W295+W296+W297+W298+W299+W300+W301+W302+W303+W304+W305+W306+W329+W330+W331+W332+W333+W334+W335+W380+W381+W382+W383+W384+W385+W386+W387+W388+W389+W390+W391+W392+W393+W450+W451+W452+W453+W454+W455+W456+W457+W458+W459+W460+W461+W462+W463+W464+W465+W466+W467+W468+W469+W470+W471+W472+W473+W474+W475+W476+W477+W478+W479+W480+W481+W482+W483+W484+W485</f>
        <v>11700000</v>
      </c>
      <c r="X12" s="18">
        <f t="shared" ref="X12:AG12" si="10">+X37+X75+X77+X79+X80+X81+X82+X83+X84+X86+X88+X89+X93+X95+X97+X102+X104+X105+X106+X107+X109+X110+X111+X112+X113+X114+X115+X116+X117+X118+X119+X120+X121+X122+X123+X124+X125+X126+X127+X128+X130+X131+X134+X140+X176+X207+X212+X213+X214+X243+X250+X251+X253+X260+X261+X262+X267+X287+X288+X289+X290+X291+X292+X293+X294+X295+X296+X297+X298+X299+X300+X301+X302+X303+X304+X305+X306+X329+X330+X331+X332+X333+X334+X335+X380+X381+X382+X383+X384+X385+X386+X387+X388+X389+X390+X391+X392+X393+X450+X451+X452+X453+X454+X455+X456+X457+X458+X459+X460+X461+X462+X463+X464+X465+X466+X467+X468+X469+X470+X471+X472+X473+X474+X475+X476+X477+X478+X479+X480+X481+X482+X483+X484+X485</f>
        <v>78052802.766627923</v>
      </c>
      <c r="Y12" s="18">
        <f t="shared" si="10"/>
        <v>190953669.24933684</v>
      </c>
      <c r="Z12" s="18">
        <f t="shared" si="10"/>
        <v>543159173.52633119</v>
      </c>
      <c r="AA12" s="18">
        <f t="shared" si="10"/>
        <v>486367616.64905286</v>
      </c>
      <c r="AB12" s="18">
        <f t="shared" si="10"/>
        <v>388866636.32781255</v>
      </c>
      <c r="AC12" s="18">
        <f t="shared" si="10"/>
        <v>152936331.65636662</v>
      </c>
      <c r="AD12" s="18">
        <f t="shared" si="10"/>
        <v>81976151.972549662</v>
      </c>
      <c r="AE12" s="18">
        <f t="shared" si="10"/>
        <v>102932415.63094625</v>
      </c>
      <c r="AF12" s="18">
        <f t="shared" si="10"/>
        <v>22266993.704849377</v>
      </c>
      <c r="AG12" s="18">
        <f t="shared" si="10"/>
        <v>57425056.167987786</v>
      </c>
    </row>
    <row r="13" spans="1:33" s="9" customFormat="1" ht="15" customHeight="1">
      <c r="A13" s="100"/>
      <c r="B13" s="100"/>
      <c r="C13" s="100"/>
      <c r="D13" s="100"/>
      <c r="E13" s="100"/>
      <c r="F13" s="101"/>
      <c r="G13" s="20"/>
      <c r="L13" s="16"/>
      <c r="N13" s="8"/>
      <c r="P13" s="104"/>
      <c r="Q13" s="10"/>
      <c r="R13" s="31"/>
      <c r="S13" s="247" t="s">
        <v>1251</v>
      </c>
      <c r="T13" s="247"/>
      <c r="U13" s="12"/>
      <c r="V13" s="11"/>
      <c r="W13" s="18">
        <f>+W345+W346+W347+W348+W349+W350+W351+W352+W353+W354+W355+W399+W400+W401+W402+W403+W404+W405+W406+W407+W408</f>
        <v>1856729.0476785717</v>
      </c>
      <c r="X13" s="18">
        <f>+X345+X346+X347+X348+X349+X350+X351+X352+X353+X354+X355+X399+X400+X401+X402+X403+X404+X405+X406+X407+X408</f>
        <v>25972047.527528573</v>
      </c>
      <c r="Y13" s="18">
        <f t="shared" ref="Y13:AG13" si="11">+Y345+Y346+Y347+Y348+Y349+Y350+Y351+Y352+Y353+Y354+Y355+Y399+Y400+Y401+Y402+Y403+Y404+Y405+Y406+Y407+Y408</f>
        <v>303187.5</v>
      </c>
      <c r="Z13" s="18">
        <f t="shared" si="11"/>
        <v>318346.875</v>
      </c>
      <c r="AA13" s="18">
        <f t="shared" si="11"/>
        <v>334264.21875</v>
      </c>
      <c r="AB13" s="18">
        <f t="shared" si="11"/>
        <v>350977.4296875</v>
      </c>
      <c r="AC13" s="18">
        <f t="shared" si="11"/>
        <v>368526.30117187503</v>
      </c>
      <c r="AD13" s="18">
        <f t="shared" si="11"/>
        <v>386952.61623046879</v>
      </c>
      <c r="AE13" s="18">
        <f t="shared" si="11"/>
        <v>406300.24704199226</v>
      </c>
      <c r="AF13" s="18">
        <f t="shared" si="11"/>
        <v>426615.2593940919</v>
      </c>
      <c r="AG13" s="18">
        <f t="shared" si="11"/>
        <v>447946.02236379654</v>
      </c>
    </row>
    <row r="14" spans="1:33" s="9" customFormat="1" ht="15" customHeight="1">
      <c r="A14" s="100"/>
      <c r="B14" s="100"/>
      <c r="C14" s="100"/>
      <c r="D14" s="100"/>
      <c r="E14" s="100"/>
      <c r="F14" s="101"/>
      <c r="G14" s="20"/>
      <c r="L14" s="16"/>
      <c r="N14" s="8"/>
      <c r="P14" s="104"/>
      <c r="Q14" s="10"/>
      <c r="R14" s="31"/>
      <c r="S14" s="247" t="s">
        <v>176</v>
      </c>
      <c r="T14" s="247"/>
      <c r="U14" s="12"/>
      <c r="V14" s="11"/>
      <c r="W14" s="18">
        <f>+W51+W62+W98+W268+W433</f>
        <v>36415715</v>
      </c>
      <c r="X14" s="18">
        <f t="shared" ref="X14:AG14" si="12">+X51+X62+X98+X268+X433</f>
        <v>110408355</v>
      </c>
      <c r="Y14" s="18">
        <f t="shared" si="12"/>
        <v>86420000</v>
      </c>
      <c r="Z14" s="18">
        <f t="shared" si="12"/>
        <v>91951600</v>
      </c>
      <c r="AA14" s="18">
        <f t="shared" si="12"/>
        <v>98158200</v>
      </c>
      <c r="AB14" s="18">
        <f t="shared" si="12"/>
        <v>105450160</v>
      </c>
      <c r="AC14" s="18">
        <f t="shared" si="12"/>
        <v>112571949</v>
      </c>
      <c r="AD14" s="18">
        <f t="shared" si="12"/>
        <v>120941275.09</v>
      </c>
      <c r="AE14" s="18">
        <f t="shared" si="12"/>
        <v>129114281.65230002</v>
      </c>
      <c r="AF14" s="18">
        <f t="shared" si="12"/>
        <v>138721342.09656104</v>
      </c>
      <c r="AG14" s="18">
        <f t="shared" si="12"/>
        <v>148102036.32678032</v>
      </c>
    </row>
    <row r="15" spans="1:33" s="9" customFormat="1" ht="15" customHeight="1">
      <c r="A15" s="100"/>
      <c r="B15" s="100"/>
      <c r="C15" s="100"/>
      <c r="D15" s="100"/>
      <c r="E15" s="100"/>
      <c r="F15" s="101"/>
      <c r="G15" s="20"/>
      <c r="L15" s="16"/>
      <c r="N15" s="8"/>
      <c r="P15" s="104"/>
      <c r="Q15" s="10"/>
      <c r="R15" s="31"/>
      <c r="S15" s="247" t="s">
        <v>298</v>
      </c>
      <c r="T15" s="247" t="s">
        <v>298</v>
      </c>
      <c r="U15" s="12"/>
      <c r="V15" s="11"/>
      <c r="W15" s="18">
        <f>+W87+W103+W129+W132+W133+W177+W178+W179+W180+W181+W182+W183+W184+W185+W186+W187+W188+W189+W190+W191+W192+W193+W194+W195+W196+W197+W198+W199+W200+W201+W202+W203+W204+W205+W206+W210+W257+W263+W270+W307+W308+W309+W310+W311+W312+W313+W314+W315+W316+W317+W318+W319+W320+W321+W322+W323+W324+W325+W326+W327+W328+W486+W487+W488+W489+W490+W491+W492+W493+W494+W495+W496+W497+W498+W499+W500+W501+W502+W503+W504+W505+W506+W507+W508+W509+W510+W511+W512+W513</f>
        <v>3999998</v>
      </c>
      <c r="X15" s="18">
        <f t="shared" ref="X15:AG15" si="13">+X87+X103+X129+X132+X133+X177+X178+X179+X180+X181+X182+X183+X184+X185+X186+X187+X188+X189+X190+X191+X192+X193+X194+X195+X196+X197+X198+X199+X200+X201+X202+X203+X204+X205+X206+X210+X257+X263+X270+X307+X308+X309+X310+X311+X312+X313+X314+X315+X316+X317+X318+X319+X320+X321+X322+X323+X324+X325+X326+X327+X328+X486+X487+X488+X489+X490+X491+X492+X493+X494+X495+X496+X497+X498+X499+X500+X501+X502+X503+X504+X505+X506+X507+X508+X509+X510+X511+X512+X513</f>
        <v>136427526.48122111</v>
      </c>
      <c r="Y15" s="18">
        <f t="shared" si="13"/>
        <v>243112950.53838888</v>
      </c>
      <c r="Z15" s="18">
        <f t="shared" si="13"/>
        <v>71726644.212571234</v>
      </c>
      <c r="AA15" s="18">
        <f t="shared" si="13"/>
        <v>88191209.4650608</v>
      </c>
      <c r="AB15" s="18">
        <f t="shared" si="13"/>
        <v>130079680.74006903</v>
      </c>
      <c r="AC15" s="18">
        <f t="shared" si="13"/>
        <v>118990136.60581452</v>
      </c>
      <c r="AD15" s="18">
        <f t="shared" si="13"/>
        <v>29657041.558846842</v>
      </c>
      <c r="AE15" s="18">
        <f t="shared" si="13"/>
        <v>64103025.438226439</v>
      </c>
      <c r="AF15" s="18">
        <f t="shared" si="13"/>
        <v>32879460.228266526</v>
      </c>
      <c r="AG15" s="18">
        <f t="shared" si="13"/>
        <v>32316336.395546809</v>
      </c>
    </row>
    <row r="16" spans="1:33" s="9" customFormat="1" ht="15" customHeight="1">
      <c r="A16" s="100"/>
      <c r="B16" s="100"/>
      <c r="C16" s="100"/>
      <c r="D16" s="100"/>
      <c r="E16" s="100"/>
      <c r="F16" s="101"/>
      <c r="G16" s="20"/>
      <c r="L16" s="16"/>
      <c r="N16" s="8"/>
      <c r="P16" s="104"/>
      <c r="Q16" s="10"/>
      <c r="R16" s="31"/>
      <c r="S16" s="247" t="s">
        <v>1252</v>
      </c>
      <c r="T16" s="247"/>
      <c r="U16" s="12"/>
      <c r="V16" s="11"/>
      <c r="W16" s="18">
        <f>+W269</f>
        <v>70934718</v>
      </c>
      <c r="X16" s="18">
        <f t="shared" ref="X16:AG16" si="14">+X269</f>
        <v>0</v>
      </c>
      <c r="Y16" s="18">
        <f t="shared" si="14"/>
        <v>0</v>
      </c>
      <c r="Z16" s="18">
        <f t="shared" si="14"/>
        <v>0</v>
      </c>
      <c r="AA16" s="18">
        <f t="shared" si="14"/>
        <v>0</v>
      </c>
      <c r="AB16" s="18">
        <f t="shared" si="14"/>
        <v>0</v>
      </c>
      <c r="AC16" s="18">
        <f t="shared" si="14"/>
        <v>0</v>
      </c>
      <c r="AD16" s="18">
        <f t="shared" si="14"/>
        <v>0</v>
      </c>
      <c r="AE16" s="18">
        <f t="shared" si="14"/>
        <v>0</v>
      </c>
      <c r="AF16" s="18">
        <f t="shared" si="14"/>
        <v>0</v>
      </c>
      <c r="AG16" s="18">
        <f t="shared" si="14"/>
        <v>0</v>
      </c>
    </row>
    <row r="17" spans="1:202" s="9" customFormat="1" ht="15" customHeight="1">
      <c r="A17" s="100"/>
      <c r="B17" s="100"/>
      <c r="C17" s="100"/>
      <c r="D17" s="100"/>
      <c r="E17" s="100"/>
      <c r="F17" s="101"/>
      <c r="G17" s="20"/>
      <c r="L17" s="16"/>
      <c r="N17" s="8"/>
      <c r="P17" s="104"/>
      <c r="Q17" s="10"/>
      <c r="R17" s="31"/>
      <c r="S17" s="113"/>
      <c r="T17" s="113"/>
      <c r="U17" s="12"/>
      <c r="V17" s="11"/>
      <c r="W17" s="114">
        <f t="shared" ref="W17:AG17" si="15">SUBTOTAL(9,W3:W16)</f>
        <v>561870754.22367859</v>
      </c>
      <c r="X17" s="114">
        <f t="shared" si="15"/>
        <v>1105968400.8083043</v>
      </c>
      <c r="Y17" s="114">
        <f t="shared" si="15"/>
        <v>1323305249.7738531</v>
      </c>
      <c r="Z17" s="114">
        <f t="shared" si="15"/>
        <v>1433203965.1131897</v>
      </c>
      <c r="AA17" s="114">
        <f t="shared" si="15"/>
        <v>1506704600.5629621</v>
      </c>
      <c r="AB17" s="114">
        <f t="shared" si="15"/>
        <v>1185113057.3451161</v>
      </c>
      <c r="AC17" s="114">
        <f t="shared" si="15"/>
        <v>814080427.90838981</v>
      </c>
      <c r="AD17" s="114">
        <f t="shared" si="15"/>
        <v>433599322.20555019</v>
      </c>
      <c r="AE17" s="114">
        <f t="shared" si="15"/>
        <v>453322576.80230933</v>
      </c>
      <c r="AF17" s="114">
        <f t="shared" si="15"/>
        <v>323525649.11321211</v>
      </c>
      <c r="AG17" s="114">
        <f t="shared" si="15"/>
        <v>371074433.90531492</v>
      </c>
    </row>
    <row r="18" spans="1:202" s="9" customFormat="1" ht="15" customHeight="1" thickBot="1">
      <c r="A18" s="100"/>
      <c r="B18" s="100"/>
      <c r="C18" s="100"/>
      <c r="D18" s="100"/>
      <c r="E18" s="100"/>
      <c r="F18" s="101"/>
      <c r="G18" s="20"/>
      <c r="L18" s="16"/>
      <c r="N18" s="8"/>
      <c r="P18" s="104"/>
      <c r="Q18" s="10"/>
      <c r="R18" s="109"/>
      <c r="S18" s="88"/>
      <c r="T18" s="221"/>
      <c r="U18" s="222"/>
      <c r="V18" s="223"/>
      <c r="W18" s="224"/>
      <c r="X18" s="224"/>
      <c r="Y18" s="94"/>
      <c r="Z18" s="19"/>
      <c r="AA18" s="19"/>
      <c r="AB18" s="19"/>
      <c r="AC18" s="19"/>
      <c r="AD18" s="19"/>
      <c r="AE18" s="19"/>
      <c r="AF18" s="19"/>
      <c r="AG18" s="19"/>
    </row>
    <row r="19" spans="1:202" ht="27" customHeight="1" thickBot="1">
      <c r="A19" s="243" t="s">
        <v>10</v>
      </c>
      <c r="B19" s="231" t="s">
        <v>11</v>
      </c>
      <c r="C19" s="245" t="s">
        <v>12</v>
      </c>
      <c r="D19" s="231" t="s">
        <v>13</v>
      </c>
      <c r="E19" s="231" t="s">
        <v>14</v>
      </c>
      <c r="F19" s="231" t="s">
        <v>15</v>
      </c>
      <c r="G19" s="231" t="s">
        <v>16</v>
      </c>
      <c r="H19" s="231" t="s">
        <v>17</v>
      </c>
      <c r="I19" s="231" t="s">
        <v>18</v>
      </c>
      <c r="J19" s="231" t="s">
        <v>19</v>
      </c>
      <c r="K19" s="235" t="s">
        <v>20</v>
      </c>
      <c r="L19" s="231" t="s">
        <v>21</v>
      </c>
      <c r="M19" s="231" t="s">
        <v>22</v>
      </c>
      <c r="N19" s="231"/>
      <c r="O19" s="231" t="s">
        <v>23</v>
      </c>
      <c r="P19" s="231" t="s">
        <v>24</v>
      </c>
      <c r="Q19" s="233" t="s">
        <v>25</v>
      </c>
      <c r="R19" s="233" t="s">
        <v>26</v>
      </c>
      <c r="S19" s="231" t="s">
        <v>27</v>
      </c>
      <c r="T19" s="229" t="s">
        <v>28</v>
      </c>
      <c r="U19" s="207"/>
      <c r="V19" s="208"/>
      <c r="W19" s="229" t="s">
        <v>29</v>
      </c>
      <c r="X19" s="239" t="s">
        <v>30</v>
      </c>
      <c r="Y19" s="241" t="s">
        <v>31</v>
      </c>
      <c r="Z19" s="229" t="s">
        <v>32</v>
      </c>
      <c r="AA19" s="239" t="s">
        <v>33</v>
      </c>
      <c r="AB19" s="229" t="s">
        <v>34</v>
      </c>
      <c r="AC19" s="229" t="s">
        <v>35</v>
      </c>
      <c r="AD19" s="229" t="s">
        <v>36</v>
      </c>
      <c r="AE19" s="229" t="s">
        <v>37</v>
      </c>
      <c r="AF19" s="229" t="s">
        <v>38</v>
      </c>
      <c r="AG19" s="237" t="s">
        <v>39</v>
      </c>
    </row>
    <row r="20" spans="1:202" s="16" customFormat="1" ht="45" customHeight="1" thickBot="1">
      <c r="A20" s="244"/>
      <c r="B20" s="232"/>
      <c r="C20" s="246"/>
      <c r="D20" s="232"/>
      <c r="E20" s="232"/>
      <c r="F20" s="232"/>
      <c r="G20" s="232"/>
      <c r="H20" s="232"/>
      <c r="I20" s="232"/>
      <c r="J20" s="232"/>
      <c r="K20" s="236"/>
      <c r="L20" s="232"/>
      <c r="M20" s="89" t="s">
        <v>40</v>
      </c>
      <c r="N20" s="89" t="s">
        <v>41</v>
      </c>
      <c r="O20" s="232"/>
      <c r="P20" s="232"/>
      <c r="Q20" s="234"/>
      <c r="R20" s="234"/>
      <c r="S20" s="232"/>
      <c r="T20" s="230"/>
      <c r="U20" s="209" t="s">
        <v>42</v>
      </c>
      <c r="V20" s="210" t="s">
        <v>43</v>
      </c>
      <c r="W20" s="230"/>
      <c r="X20" s="240"/>
      <c r="Y20" s="242"/>
      <c r="Z20" s="230"/>
      <c r="AA20" s="240"/>
      <c r="AB20" s="230"/>
      <c r="AC20" s="230"/>
      <c r="AD20" s="230"/>
      <c r="AE20" s="230"/>
      <c r="AF20" s="230"/>
      <c r="AG20" s="238"/>
    </row>
    <row r="21" spans="1:202" s="22" customFormat="1" ht="15.75" thickBot="1">
      <c r="A21" s="211"/>
      <c r="B21" s="212"/>
      <c r="C21" s="212"/>
      <c r="D21" s="213"/>
      <c r="E21" s="213"/>
      <c r="F21" s="213"/>
      <c r="G21" s="213"/>
      <c r="H21" s="212"/>
      <c r="I21" s="213"/>
      <c r="J21" s="212"/>
      <c r="K21" s="214"/>
      <c r="L21" s="213"/>
      <c r="M21" s="212"/>
      <c r="N21" s="213"/>
      <c r="O21" s="212"/>
      <c r="P21" s="212"/>
      <c r="Q21" s="215"/>
      <c r="R21" s="215"/>
      <c r="S21" s="213"/>
      <c r="T21" s="216"/>
      <c r="U21" s="217"/>
      <c r="V21" s="218"/>
      <c r="W21" s="216"/>
      <c r="X21" s="216"/>
      <c r="Y21" s="219"/>
      <c r="Z21" s="216"/>
      <c r="AA21" s="216"/>
      <c r="AB21" s="216"/>
      <c r="AC21" s="216"/>
      <c r="AD21" s="216"/>
      <c r="AE21" s="216"/>
      <c r="AF21" s="216"/>
      <c r="AG21" s="220"/>
    </row>
    <row r="22" spans="1:202" s="33" customFormat="1" ht="90" customHeight="1">
      <c r="A22" s="127">
        <v>1</v>
      </c>
      <c r="B22" s="27" t="s">
        <v>44</v>
      </c>
      <c r="C22" s="23" t="s">
        <v>45</v>
      </c>
      <c r="D22" s="24" t="s">
        <v>46</v>
      </c>
      <c r="E22" s="24" t="s">
        <v>46</v>
      </c>
      <c r="F22" s="25" t="s">
        <v>47</v>
      </c>
      <c r="G22" s="24" t="s">
        <v>48</v>
      </c>
      <c r="H22" s="23" t="s">
        <v>46</v>
      </c>
      <c r="I22" s="26" t="s">
        <v>46</v>
      </c>
      <c r="J22" s="27" t="s">
        <v>46</v>
      </c>
      <c r="K22" s="27"/>
      <c r="L22" s="23" t="s">
        <v>49</v>
      </c>
      <c r="M22" s="23" t="s">
        <v>4</v>
      </c>
      <c r="N22" s="25" t="s">
        <v>50</v>
      </c>
      <c r="O22" s="23"/>
      <c r="P22" s="23" t="s">
        <v>51</v>
      </c>
      <c r="Q22" s="28">
        <v>40787</v>
      </c>
      <c r="R22" s="28">
        <v>41881</v>
      </c>
      <c r="S22" s="24" t="s">
        <v>52</v>
      </c>
      <c r="T22" s="29" t="s">
        <v>53</v>
      </c>
      <c r="U22" s="30"/>
      <c r="V22" s="128">
        <v>8000000</v>
      </c>
      <c r="W22" s="29">
        <f>4212000</f>
        <v>4212000</v>
      </c>
      <c r="X22" s="29">
        <v>20000000</v>
      </c>
      <c r="Y22" s="129">
        <v>22000000</v>
      </c>
      <c r="Z22" s="29">
        <v>24000000</v>
      </c>
      <c r="AA22" s="130">
        <f>+Z22*1.1</f>
        <v>26400000.000000004</v>
      </c>
      <c r="AB22" s="130">
        <f t="shared" ref="AB22:AF22" si="16">+AA22*1.1</f>
        <v>29040000.000000007</v>
      </c>
      <c r="AC22" s="130">
        <f t="shared" si="16"/>
        <v>31944000.000000011</v>
      </c>
      <c r="AD22" s="130">
        <f t="shared" si="16"/>
        <v>35138400.000000015</v>
      </c>
      <c r="AE22" s="130">
        <f t="shared" si="16"/>
        <v>38652240.000000022</v>
      </c>
      <c r="AF22" s="130">
        <f t="shared" si="16"/>
        <v>42517464.00000003</v>
      </c>
      <c r="AG22" s="203">
        <f>+AF22*1.1</f>
        <v>46769210.400000036</v>
      </c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</row>
    <row r="23" spans="1:202" s="103" customFormat="1" ht="90" customHeight="1">
      <c r="A23" s="102">
        <f>+A22+1</f>
        <v>2</v>
      </c>
      <c r="B23" s="52" t="s">
        <v>54</v>
      </c>
      <c r="C23" s="51" t="s">
        <v>55</v>
      </c>
      <c r="D23" s="35" t="s">
        <v>56</v>
      </c>
      <c r="E23" s="35">
        <v>800035528</v>
      </c>
      <c r="F23" s="36" t="s">
        <v>47</v>
      </c>
      <c r="G23" s="35" t="s">
        <v>48</v>
      </c>
      <c r="H23" s="51" t="s">
        <v>57</v>
      </c>
      <c r="I23" s="34" t="s">
        <v>58</v>
      </c>
      <c r="J23" s="52" t="s">
        <v>59</v>
      </c>
      <c r="K23" s="52" t="s">
        <v>60</v>
      </c>
      <c r="L23" s="51" t="s">
        <v>61</v>
      </c>
      <c r="M23" s="51" t="s">
        <v>5</v>
      </c>
      <c r="N23" s="36" t="s">
        <v>50</v>
      </c>
      <c r="O23" s="51"/>
      <c r="P23" s="51" t="s">
        <v>62</v>
      </c>
      <c r="Q23" s="37">
        <v>41730</v>
      </c>
      <c r="R23" s="37">
        <v>42369</v>
      </c>
      <c r="S23" s="35" t="s">
        <v>52</v>
      </c>
      <c r="T23" s="38">
        <v>69237168</v>
      </c>
      <c r="U23" s="39"/>
      <c r="V23" s="131">
        <v>4000000</v>
      </c>
      <c r="W23" s="38">
        <v>13464000</v>
      </c>
      <c r="X23" s="38">
        <f>+T23-W23</f>
        <v>55773168</v>
      </c>
      <c r="Y23" s="38">
        <v>0</v>
      </c>
      <c r="Z23" s="38">
        <v>350000</v>
      </c>
      <c r="AA23" s="91">
        <v>0</v>
      </c>
      <c r="AB23" s="91">
        <f>+Z23*1.15</f>
        <v>402499.99999999994</v>
      </c>
      <c r="AC23" s="91">
        <v>0</v>
      </c>
      <c r="AD23" s="91">
        <f>+AB23*1.15</f>
        <v>462874.99999999988</v>
      </c>
      <c r="AE23" s="91">
        <v>0</v>
      </c>
      <c r="AF23" s="91">
        <f>+AD23*1.15</f>
        <v>532306.24999999977</v>
      </c>
      <c r="AG23" s="204">
        <v>0</v>
      </c>
    </row>
    <row r="24" spans="1:202" s="103" customFormat="1" ht="90" customHeight="1">
      <c r="A24" s="102">
        <f t="shared" ref="A24:A87" si="17">+A23+1</f>
        <v>3</v>
      </c>
      <c r="B24" s="52" t="s">
        <v>63</v>
      </c>
      <c r="C24" s="51" t="s">
        <v>64</v>
      </c>
      <c r="D24" s="35" t="s">
        <v>65</v>
      </c>
      <c r="E24" s="35" t="s">
        <v>66</v>
      </c>
      <c r="F24" s="36" t="s">
        <v>67</v>
      </c>
      <c r="G24" s="35" t="s">
        <v>48</v>
      </c>
      <c r="H24" s="51" t="s">
        <v>68</v>
      </c>
      <c r="I24" s="34" t="s">
        <v>69</v>
      </c>
      <c r="J24" s="52" t="s">
        <v>70</v>
      </c>
      <c r="K24" s="52" t="s">
        <v>60</v>
      </c>
      <c r="L24" s="51" t="s">
        <v>49</v>
      </c>
      <c r="M24" s="51" t="s">
        <v>2</v>
      </c>
      <c r="N24" s="36" t="s">
        <v>50</v>
      </c>
      <c r="O24" s="51"/>
      <c r="P24" s="51" t="s">
        <v>71</v>
      </c>
      <c r="Q24" s="37">
        <v>42461</v>
      </c>
      <c r="R24" s="37">
        <v>42916</v>
      </c>
      <c r="S24" s="35" t="s">
        <v>96</v>
      </c>
      <c r="T24" s="38">
        <v>38000000</v>
      </c>
      <c r="U24" s="39"/>
      <c r="V24" s="131">
        <v>0</v>
      </c>
      <c r="W24" s="38">
        <v>0</v>
      </c>
      <c r="X24" s="38">
        <v>0</v>
      </c>
      <c r="Y24" s="38">
        <v>0</v>
      </c>
      <c r="Z24" s="38">
        <v>1900000</v>
      </c>
      <c r="AA24" s="91">
        <v>20000000</v>
      </c>
      <c r="AB24" s="91">
        <v>16100000</v>
      </c>
      <c r="AC24" s="91">
        <v>0</v>
      </c>
      <c r="AD24" s="91">
        <f>+T24*0.01/1.23</f>
        <v>308943.0894308943</v>
      </c>
      <c r="AE24" s="91">
        <v>0</v>
      </c>
      <c r="AF24" s="91">
        <f>+AD24*1.15</f>
        <v>355284.55284552841</v>
      </c>
      <c r="AG24" s="204">
        <v>0</v>
      </c>
    </row>
    <row r="25" spans="1:202" s="103" customFormat="1" ht="90" customHeight="1">
      <c r="A25" s="102">
        <f t="shared" si="17"/>
        <v>4</v>
      </c>
      <c r="B25" s="52"/>
      <c r="C25" s="51" t="s">
        <v>72</v>
      </c>
      <c r="D25" s="35" t="s">
        <v>73</v>
      </c>
      <c r="E25" s="35" t="s">
        <v>66</v>
      </c>
      <c r="F25" s="36" t="s">
        <v>67</v>
      </c>
      <c r="G25" s="35" t="s">
        <v>48</v>
      </c>
      <c r="H25" s="51" t="s">
        <v>74</v>
      </c>
      <c r="I25" s="34"/>
      <c r="J25" s="52" t="s">
        <v>75</v>
      </c>
      <c r="K25" s="52" t="s">
        <v>60</v>
      </c>
      <c r="L25" s="51" t="s">
        <v>49</v>
      </c>
      <c r="M25" s="51" t="s">
        <v>2</v>
      </c>
      <c r="N25" s="36" t="s">
        <v>50</v>
      </c>
      <c r="O25" s="51"/>
      <c r="P25" s="51" t="s">
        <v>76</v>
      </c>
      <c r="Q25" s="37">
        <v>42461</v>
      </c>
      <c r="R25" s="37">
        <v>42916</v>
      </c>
      <c r="S25" s="35" t="s">
        <v>87</v>
      </c>
      <c r="T25" s="38">
        <v>36000000</v>
      </c>
      <c r="U25" s="39"/>
      <c r="V25" s="131">
        <v>0</v>
      </c>
      <c r="W25" s="38">
        <v>0</v>
      </c>
      <c r="X25" s="38">
        <v>1800000</v>
      </c>
      <c r="Y25" s="132">
        <v>20200000</v>
      </c>
      <c r="Z25" s="38">
        <v>14000000</v>
      </c>
      <c r="AA25" s="91"/>
      <c r="AB25" s="91">
        <f>+T25*0.01/1.23</f>
        <v>292682.92682926828</v>
      </c>
      <c r="AC25" s="91"/>
      <c r="AD25" s="91">
        <f>+AB25*1.15</f>
        <v>336585.36585365853</v>
      </c>
      <c r="AE25" s="91"/>
      <c r="AF25" s="91">
        <f>+AD25*1.15</f>
        <v>387073.1707317073</v>
      </c>
      <c r="AG25" s="204"/>
    </row>
    <row r="26" spans="1:202" s="103" customFormat="1" ht="90" customHeight="1">
      <c r="A26" s="102">
        <f t="shared" si="17"/>
        <v>5</v>
      </c>
      <c r="B26" s="52"/>
      <c r="C26" s="51" t="s">
        <v>913</v>
      </c>
      <c r="D26" s="35" t="s">
        <v>65</v>
      </c>
      <c r="E26" s="35">
        <v>800035483</v>
      </c>
      <c r="F26" s="36" t="s">
        <v>67</v>
      </c>
      <c r="G26" s="35" t="s">
        <v>48</v>
      </c>
      <c r="H26" s="51" t="s">
        <v>74</v>
      </c>
      <c r="I26" s="34" t="s">
        <v>79</v>
      </c>
      <c r="J26" s="52" t="s">
        <v>75</v>
      </c>
      <c r="K26" s="52" t="s">
        <v>60</v>
      </c>
      <c r="L26" s="51" t="s">
        <v>49</v>
      </c>
      <c r="M26" s="51" t="s">
        <v>2</v>
      </c>
      <c r="N26" s="36" t="s">
        <v>50</v>
      </c>
      <c r="O26" s="51"/>
      <c r="P26" s="51" t="s">
        <v>916</v>
      </c>
      <c r="Q26" s="37"/>
      <c r="R26" s="37"/>
      <c r="S26" s="35" t="s">
        <v>96</v>
      </c>
      <c r="T26" s="38">
        <f>+(1823640+10*((1141850+1714473+2097122)/9)+3658606+1350713+4298671+14*(1022001/14)+1350000+600000+350000+750000+150000)*1.23*1.07</f>
        <v>27450501.497433338</v>
      </c>
      <c r="U26" s="39"/>
      <c r="V26" s="131"/>
      <c r="W26" s="38">
        <v>0</v>
      </c>
      <c r="X26" s="38">
        <v>0</v>
      </c>
      <c r="Y26" s="38">
        <v>0</v>
      </c>
      <c r="Z26" s="38">
        <f>+T26*0.235*0.3</f>
        <v>1935260.3555690502</v>
      </c>
      <c r="AA26" s="91">
        <f>+T26-Z26-AB26</f>
        <v>24142716.066992622</v>
      </c>
      <c r="AB26" s="91">
        <f>+T26*0.05</f>
        <v>1372525.074871667</v>
      </c>
      <c r="AC26" s="91">
        <v>0</v>
      </c>
      <c r="AD26" s="91">
        <f>+T26*0.01</f>
        <v>274505.0149743334</v>
      </c>
      <c r="AE26" s="91">
        <v>0</v>
      </c>
      <c r="AF26" s="91">
        <f>+AD26*1.15</f>
        <v>315680.76722048339</v>
      </c>
      <c r="AG26" s="204">
        <v>0</v>
      </c>
    </row>
    <row r="27" spans="1:202" s="103" customFormat="1" ht="90" customHeight="1">
      <c r="A27" s="102">
        <f t="shared" si="17"/>
        <v>6</v>
      </c>
      <c r="B27" s="52"/>
      <c r="C27" s="51" t="s">
        <v>914</v>
      </c>
      <c r="D27" s="35" t="s">
        <v>65</v>
      </c>
      <c r="E27" s="35">
        <v>80003527</v>
      </c>
      <c r="F27" s="36" t="s">
        <v>67</v>
      </c>
      <c r="G27" s="35" t="s">
        <v>48</v>
      </c>
      <c r="H27" s="51" t="s">
        <v>74</v>
      </c>
      <c r="I27" s="34" t="s">
        <v>513</v>
      </c>
      <c r="J27" s="52" t="s">
        <v>75</v>
      </c>
      <c r="K27" s="52" t="s">
        <v>60</v>
      </c>
      <c r="L27" s="51" t="s">
        <v>49</v>
      </c>
      <c r="M27" s="51" t="s">
        <v>2</v>
      </c>
      <c r="N27" s="36" t="s">
        <v>50</v>
      </c>
      <c r="O27" s="51"/>
      <c r="P27" s="51" t="s">
        <v>917</v>
      </c>
      <c r="Q27" s="37"/>
      <c r="R27" s="37"/>
      <c r="S27" s="35" t="s">
        <v>96</v>
      </c>
      <c r="T27" s="38">
        <f>+(1823640+12*((1141850+1714473+2097122)/9))*1.23*1.07</f>
        <v>11092397.889999999</v>
      </c>
      <c r="U27" s="39"/>
      <c r="V27" s="131"/>
      <c r="W27" s="38">
        <v>0</v>
      </c>
      <c r="X27" s="38">
        <v>0</v>
      </c>
      <c r="Y27" s="38">
        <v>0</v>
      </c>
      <c r="Z27" s="38">
        <f>+T27*0.235*0.3</f>
        <v>782014.05124499986</v>
      </c>
      <c r="AA27" s="91">
        <f>+T27-Z27</f>
        <v>10310383.838754999</v>
      </c>
      <c r="AB27" s="91">
        <v>0</v>
      </c>
      <c r="AC27" s="91">
        <v>0</v>
      </c>
      <c r="AD27" s="91">
        <v>0</v>
      </c>
      <c r="AE27" s="91">
        <v>0</v>
      </c>
      <c r="AF27" s="91">
        <v>0</v>
      </c>
      <c r="AG27" s="204">
        <v>0</v>
      </c>
    </row>
    <row r="28" spans="1:202" s="103" customFormat="1" ht="90" customHeight="1">
      <c r="A28" s="102">
        <f t="shared" si="17"/>
        <v>7</v>
      </c>
      <c r="B28" s="52"/>
      <c r="C28" s="51" t="s">
        <v>915</v>
      </c>
      <c r="D28" s="35" t="s">
        <v>65</v>
      </c>
      <c r="E28" s="35">
        <v>800035497</v>
      </c>
      <c r="F28" s="36" t="s">
        <v>67</v>
      </c>
      <c r="G28" s="35" t="s">
        <v>48</v>
      </c>
      <c r="H28" s="51" t="s">
        <v>74</v>
      </c>
      <c r="I28" s="34" t="s">
        <v>389</v>
      </c>
      <c r="J28" s="52" t="s">
        <v>75</v>
      </c>
      <c r="K28" s="52" t="s">
        <v>60</v>
      </c>
      <c r="L28" s="51" t="s">
        <v>49</v>
      </c>
      <c r="M28" s="51" t="s">
        <v>2</v>
      </c>
      <c r="N28" s="36" t="s">
        <v>50</v>
      </c>
      <c r="O28" s="51"/>
      <c r="P28" s="51" t="s">
        <v>918</v>
      </c>
      <c r="Q28" s="37"/>
      <c r="R28" s="37"/>
      <c r="S28" s="35" t="s">
        <v>96</v>
      </c>
      <c r="T28" s="38">
        <f>+(1823640)*1.23*1.07</f>
        <v>2400092.6040000003</v>
      </c>
      <c r="U28" s="39"/>
      <c r="V28" s="131"/>
      <c r="W28" s="38">
        <v>0</v>
      </c>
      <c r="X28" s="38">
        <v>0</v>
      </c>
      <c r="Y28" s="38">
        <v>0</v>
      </c>
      <c r="Z28" s="38">
        <f>+T28*0.235*0.3</f>
        <v>169206.528582</v>
      </c>
      <c r="AA28" s="91">
        <f>+T28-Z28</f>
        <v>2230886.0754180001</v>
      </c>
      <c r="AB28" s="91">
        <v>0</v>
      </c>
      <c r="AC28" s="91">
        <v>0</v>
      </c>
      <c r="AD28" s="91">
        <v>0</v>
      </c>
      <c r="AE28" s="91">
        <v>0</v>
      </c>
      <c r="AF28" s="91">
        <v>0</v>
      </c>
      <c r="AG28" s="204">
        <v>0</v>
      </c>
    </row>
    <row r="29" spans="1:202" s="103" customFormat="1" ht="90" customHeight="1">
      <c r="A29" s="102">
        <f t="shared" si="17"/>
        <v>8</v>
      </c>
      <c r="B29" s="52" t="s">
        <v>77</v>
      </c>
      <c r="C29" s="51" t="s">
        <v>78</v>
      </c>
      <c r="D29" s="35" t="s">
        <v>65</v>
      </c>
      <c r="E29" s="35">
        <v>800035484</v>
      </c>
      <c r="F29" s="36" t="s">
        <v>67</v>
      </c>
      <c r="G29" s="35" t="s">
        <v>48</v>
      </c>
      <c r="H29" s="51" t="s">
        <v>74</v>
      </c>
      <c r="I29" s="34" t="s">
        <v>79</v>
      </c>
      <c r="J29" s="52" t="s">
        <v>75</v>
      </c>
      <c r="K29" s="52" t="s">
        <v>60</v>
      </c>
      <c r="L29" s="51" t="s">
        <v>49</v>
      </c>
      <c r="M29" s="51" t="s">
        <v>2</v>
      </c>
      <c r="N29" s="36" t="s">
        <v>50</v>
      </c>
      <c r="O29" s="51"/>
      <c r="P29" s="51" t="s">
        <v>80</v>
      </c>
      <c r="Q29" s="37">
        <v>42461</v>
      </c>
      <c r="R29" s="37">
        <v>42824</v>
      </c>
      <c r="S29" s="35" t="s">
        <v>87</v>
      </c>
      <c r="T29" s="38">
        <v>34000000</v>
      </c>
      <c r="U29" s="39"/>
      <c r="V29" s="131">
        <v>0</v>
      </c>
      <c r="W29" s="38">
        <v>0</v>
      </c>
      <c r="X29" s="38">
        <v>1700000</v>
      </c>
      <c r="Y29" s="132">
        <v>32300000</v>
      </c>
      <c r="Z29" s="38">
        <v>0</v>
      </c>
      <c r="AA29" s="91">
        <f>+T29*0.01/1.23</f>
        <v>276422.76422764227</v>
      </c>
      <c r="AB29" s="91"/>
      <c r="AC29" s="91">
        <f>+AA29*1.15</f>
        <v>317886.17886178859</v>
      </c>
      <c r="AD29" s="91"/>
      <c r="AE29" s="91">
        <f>+AC29*1.15</f>
        <v>365569.10569105687</v>
      </c>
      <c r="AF29" s="91"/>
      <c r="AG29" s="204">
        <f>+AE29*1.15</f>
        <v>420404.47154471534</v>
      </c>
    </row>
    <row r="30" spans="1:202" s="103" customFormat="1" ht="90" customHeight="1">
      <c r="A30" s="102">
        <f t="shared" si="17"/>
        <v>9</v>
      </c>
      <c r="B30" s="52" t="s">
        <v>81</v>
      </c>
      <c r="C30" s="51" t="s">
        <v>82</v>
      </c>
      <c r="D30" s="35" t="s">
        <v>65</v>
      </c>
      <c r="E30" s="35" t="s">
        <v>66</v>
      </c>
      <c r="F30" s="36" t="s">
        <v>67</v>
      </c>
      <c r="G30" s="35" t="s">
        <v>48</v>
      </c>
      <c r="H30" s="51" t="s">
        <v>68</v>
      </c>
      <c r="I30" s="34" t="s">
        <v>83</v>
      </c>
      <c r="J30" s="52" t="s">
        <v>84</v>
      </c>
      <c r="K30" s="52"/>
      <c r="L30" s="51" t="s">
        <v>49</v>
      </c>
      <c r="M30" s="51" t="s">
        <v>2</v>
      </c>
      <c r="N30" s="36" t="s">
        <v>50</v>
      </c>
      <c r="O30" s="51" t="s">
        <v>85</v>
      </c>
      <c r="P30" s="51" t="s">
        <v>86</v>
      </c>
      <c r="Q30" s="37">
        <v>41659</v>
      </c>
      <c r="R30" s="37">
        <v>42185</v>
      </c>
      <c r="S30" s="35" t="s">
        <v>52</v>
      </c>
      <c r="T30" s="38">
        <v>39463000</v>
      </c>
      <c r="U30" s="39"/>
      <c r="V30" s="131">
        <v>12000000</v>
      </c>
      <c r="W30" s="38">
        <v>0</v>
      </c>
      <c r="X30" s="38">
        <v>28348000</v>
      </c>
      <c r="Y30" s="132">
        <f>+T30-X30</f>
        <v>11115000</v>
      </c>
      <c r="Z30" s="38">
        <v>0</v>
      </c>
      <c r="AA30" s="91">
        <f>+T30*0.01</f>
        <v>394630</v>
      </c>
      <c r="AB30" s="91">
        <f>+Z30*1.15</f>
        <v>0</v>
      </c>
      <c r="AC30" s="91">
        <f>+AA30*1.15</f>
        <v>453824.49999999994</v>
      </c>
      <c r="AD30" s="91">
        <f>+AB30*1.15</f>
        <v>0</v>
      </c>
      <c r="AE30" s="91">
        <f>+AC30*1.15</f>
        <v>521898.17499999987</v>
      </c>
      <c r="AF30" s="91">
        <f>+AD30*1.15</f>
        <v>0</v>
      </c>
      <c r="AG30" s="204">
        <f>+AE30*1.15</f>
        <v>600182.90124999976</v>
      </c>
    </row>
    <row r="31" spans="1:202" s="103" customFormat="1" ht="90" customHeight="1">
      <c r="A31" s="102">
        <f t="shared" si="17"/>
        <v>10</v>
      </c>
      <c r="B31" s="52" t="s">
        <v>88</v>
      </c>
      <c r="C31" s="51" t="s">
        <v>89</v>
      </c>
      <c r="D31" s="35" t="s">
        <v>73</v>
      </c>
      <c r="E31" s="35" t="s">
        <v>66</v>
      </c>
      <c r="F31" s="36" t="s">
        <v>67</v>
      </c>
      <c r="G31" s="35" t="s">
        <v>48</v>
      </c>
      <c r="H31" s="51" t="s">
        <v>68</v>
      </c>
      <c r="I31" s="34" t="s">
        <v>90</v>
      </c>
      <c r="J31" s="52" t="s">
        <v>70</v>
      </c>
      <c r="K31" s="52" t="s">
        <v>60</v>
      </c>
      <c r="L31" s="51" t="s">
        <v>49</v>
      </c>
      <c r="M31" s="51" t="s">
        <v>2</v>
      </c>
      <c r="N31" s="36" t="s">
        <v>50</v>
      </c>
      <c r="O31" s="51"/>
      <c r="P31" s="51" t="s">
        <v>91</v>
      </c>
      <c r="Q31" s="37">
        <v>42461</v>
      </c>
      <c r="R31" s="37">
        <v>42916</v>
      </c>
      <c r="S31" s="35" t="s">
        <v>96</v>
      </c>
      <c r="T31" s="38">
        <v>46000000</v>
      </c>
      <c r="U31" s="39"/>
      <c r="V31" s="131">
        <v>0</v>
      </c>
      <c r="W31" s="38">
        <v>0</v>
      </c>
      <c r="X31" s="38">
        <v>0</v>
      </c>
      <c r="Y31" s="132">
        <v>2300000</v>
      </c>
      <c r="Z31" s="38">
        <v>24600000</v>
      </c>
      <c r="AA31" s="91">
        <v>19100000</v>
      </c>
      <c r="AB31" s="91">
        <v>0</v>
      </c>
      <c r="AC31" s="91">
        <f>+T31*0.01/1.23</f>
        <v>373983.7398373984</v>
      </c>
      <c r="AD31" s="91">
        <v>0</v>
      </c>
      <c r="AE31" s="91">
        <f>+AC31*1.15</f>
        <v>430081.30081300816</v>
      </c>
      <c r="AF31" s="91">
        <v>0</v>
      </c>
      <c r="AG31" s="204">
        <f>+AE31*1.15</f>
        <v>494593.49593495933</v>
      </c>
    </row>
    <row r="32" spans="1:202" s="103" customFormat="1" ht="90" customHeight="1">
      <c r="A32" s="102">
        <f t="shared" si="17"/>
        <v>11</v>
      </c>
      <c r="B32" s="52" t="s">
        <v>92</v>
      </c>
      <c r="C32" s="51" t="s">
        <v>84</v>
      </c>
      <c r="D32" s="35" t="s">
        <v>65</v>
      </c>
      <c r="E32" s="35" t="s">
        <v>66</v>
      </c>
      <c r="F32" s="36" t="s">
        <v>67</v>
      </c>
      <c r="G32" s="35" t="s">
        <v>48</v>
      </c>
      <c r="H32" s="51" t="s">
        <v>68</v>
      </c>
      <c r="I32" s="34" t="s">
        <v>84</v>
      </c>
      <c r="J32" s="52" t="s">
        <v>84</v>
      </c>
      <c r="K32" s="52"/>
      <c r="L32" s="51" t="s">
        <v>49</v>
      </c>
      <c r="M32" s="51" t="s">
        <v>2</v>
      </c>
      <c r="N32" s="36" t="s">
        <v>50</v>
      </c>
      <c r="O32" s="51"/>
      <c r="P32" s="51" t="s">
        <v>93</v>
      </c>
      <c r="Q32" s="37">
        <v>42461</v>
      </c>
      <c r="R32" s="37">
        <v>42916</v>
      </c>
      <c r="S32" s="35" t="s">
        <v>96</v>
      </c>
      <c r="T32" s="38">
        <v>42000000</v>
      </c>
      <c r="U32" s="39"/>
      <c r="V32" s="131">
        <v>0</v>
      </c>
      <c r="W32" s="38">
        <v>0</v>
      </c>
      <c r="X32" s="38">
        <v>0</v>
      </c>
      <c r="Y32" s="38">
        <v>0</v>
      </c>
      <c r="Z32" s="38">
        <v>2300000</v>
      </c>
      <c r="AA32" s="91">
        <v>24600000</v>
      </c>
      <c r="AB32" s="91">
        <v>15100000</v>
      </c>
      <c r="AC32" s="91">
        <v>0</v>
      </c>
      <c r="AD32" s="91">
        <f>+T32*0.01/1.23</f>
        <v>341463.41463414632</v>
      </c>
      <c r="AE32" s="91">
        <v>0</v>
      </c>
      <c r="AF32" s="91">
        <f>+AD32*1.15</f>
        <v>392682.92682926822</v>
      </c>
      <c r="AG32" s="204">
        <v>0</v>
      </c>
    </row>
    <row r="33" spans="1:74" s="103" customFormat="1" ht="90" customHeight="1">
      <c r="A33" s="102">
        <f t="shared" si="17"/>
        <v>12</v>
      </c>
      <c r="B33" s="52" t="s">
        <v>94</v>
      </c>
      <c r="C33" s="51" t="s">
        <v>95</v>
      </c>
      <c r="D33" s="35" t="s">
        <v>96</v>
      </c>
      <c r="E33" s="35">
        <v>800014274</v>
      </c>
      <c r="F33" s="36" t="s">
        <v>67</v>
      </c>
      <c r="G33" s="35" t="s">
        <v>48</v>
      </c>
      <c r="H33" s="51" t="s">
        <v>97</v>
      </c>
      <c r="I33" s="34" t="s">
        <v>98</v>
      </c>
      <c r="J33" s="52" t="s">
        <v>99</v>
      </c>
      <c r="K33" s="52"/>
      <c r="L33" s="51" t="s">
        <v>49</v>
      </c>
      <c r="M33" s="51" t="s">
        <v>100</v>
      </c>
      <c r="N33" s="36" t="s">
        <v>50</v>
      </c>
      <c r="O33" s="51" t="s">
        <v>101</v>
      </c>
      <c r="P33" s="51" t="s">
        <v>102</v>
      </c>
      <c r="Q33" s="37">
        <v>41791</v>
      </c>
      <c r="R33" s="37">
        <v>42154</v>
      </c>
      <c r="S33" s="35" t="s">
        <v>52</v>
      </c>
      <c r="T33" s="38">
        <v>42846000</v>
      </c>
      <c r="U33" s="39"/>
      <c r="V33" s="131">
        <f>1252413.82+3000000</f>
        <v>4252413.82</v>
      </c>
      <c r="W33" s="38">
        <v>28323000</v>
      </c>
      <c r="X33" s="38">
        <f>+T33-56000-W33</f>
        <v>14467000</v>
      </c>
      <c r="Y33" s="38">
        <v>0</v>
      </c>
      <c r="Z33" s="38">
        <f>+T33*0.01/1.23</f>
        <v>348341.46341463417</v>
      </c>
      <c r="AA33" s="91">
        <v>0</v>
      </c>
      <c r="AB33" s="91">
        <f>+Z33*1.15</f>
        <v>400592.68292682926</v>
      </c>
      <c r="AC33" s="91">
        <v>0</v>
      </c>
      <c r="AD33" s="91">
        <f>+AB33*1.15</f>
        <v>460681.58536585362</v>
      </c>
      <c r="AE33" s="91">
        <v>0</v>
      </c>
      <c r="AF33" s="91">
        <f>+AD33*1.15</f>
        <v>529783.82317073166</v>
      </c>
      <c r="AG33" s="204">
        <v>0</v>
      </c>
    </row>
    <row r="34" spans="1:74" s="103" customFormat="1" ht="90" customHeight="1">
      <c r="A34" s="102">
        <f t="shared" si="17"/>
        <v>13</v>
      </c>
      <c r="B34" s="52" t="s">
        <v>103</v>
      </c>
      <c r="C34" s="51" t="s">
        <v>104</v>
      </c>
      <c r="D34" s="35" t="s">
        <v>73</v>
      </c>
      <c r="E34" s="35" t="s">
        <v>66</v>
      </c>
      <c r="F34" s="36" t="s">
        <v>67</v>
      </c>
      <c r="G34" s="35" t="s">
        <v>48</v>
      </c>
      <c r="H34" s="51" t="s">
        <v>68</v>
      </c>
      <c r="I34" s="34" t="s">
        <v>105</v>
      </c>
      <c r="J34" s="52" t="s">
        <v>70</v>
      </c>
      <c r="K34" s="52" t="s">
        <v>60</v>
      </c>
      <c r="L34" s="51" t="s">
        <v>49</v>
      </c>
      <c r="M34" s="51" t="s">
        <v>2</v>
      </c>
      <c r="N34" s="36" t="s">
        <v>50</v>
      </c>
      <c r="O34" s="51"/>
      <c r="P34" s="51" t="s">
        <v>106</v>
      </c>
      <c r="Q34" s="37">
        <v>42461</v>
      </c>
      <c r="R34" s="37">
        <v>42916</v>
      </c>
      <c r="S34" s="35" t="s">
        <v>96</v>
      </c>
      <c r="T34" s="38">
        <v>40000000</v>
      </c>
      <c r="U34" s="39"/>
      <c r="V34" s="131">
        <v>0</v>
      </c>
      <c r="W34" s="38">
        <v>0</v>
      </c>
      <c r="X34" s="38">
        <v>0</v>
      </c>
      <c r="Y34" s="38">
        <v>0</v>
      </c>
      <c r="Z34" s="38">
        <v>2000000</v>
      </c>
      <c r="AA34" s="91">
        <v>20400000</v>
      </c>
      <c r="AB34" s="91">
        <v>17600000</v>
      </c>
      <c r="AC34" s="91"/>
      <c r="AD34" s="91">
        <f>+T34*0.01/1.23</f>
        <v>325203.25203252031</v>
      </c>
      <c r="AE34" s="91"/>
      <c r="AF34" s="91">
        <f t="shared" ref="AF34:AF37" si="18">+AD34*1.15</f>
        <v>373983.73983739835</v>
      </c>
      <c r="AG34" s="204">
        <v>0</v>
      </c>
    </row>
    <row r="35" spans="1:74" s="103" customFormat="1" ht="90" customHeight="1">
      <c r="A35" s="102">
        <f t="shared" si="17"/>
        <v>14</v>
      </c>
      <c r="B35" s="52" t="s">
        <v>107</v>
      </c>
      <c r="C35" s="51" t="s">
        <v>108</v>
      </c>
      <c r="D35" s="35" t="s">
        <v>73</v>
      </c>
      <c r="E35" s="35"/>
      <c r="F35" s="36" t="s">
        <v>67</v>
      </c>
      <c r="G35" s="35" t="s">
        <v>48</v>
      </c>
      <c r="H35" s="51" t="s">
        <v>68</v>
      </c>
      <c r="I35" s="34" t="s">
        <v>105</v>
      </c>
      <c r="J35" s="52" t="s">
        <v>70</v>
      </c>
      <c r="K35" s="52" t="s">
        <v>60</v>
      </c>
      <c r="L35" s="51" t="s">
        <v>49</v>
      </c>
      <c r="M35" s="51" t="s">
        <v>2</v>
      </c>
      <c r="N35" s="36" t="s">
        <v>50</v>
      </c>
      <c r="O35" s="51"/>
      <c r="P35" s="51" t="s">
        <v>109</v>
      </c>
      <c r="Q35" s="37">
        <v>42461</v>
      </c>
      <c r="R35" s="37">
        <v>42916</v>
      </c>
      <c r="S35" s="35" t="s">
        <v>87</v>
      </c>
      <c r="T35" s="38">
        <v>46000000</v>
      </c>
      <c r="U35" s="39"/>
      <c r="V35" s="131">
        <v>0</v>
      </c>
      <c r="W35" s="38">
        <v>0</v>
      </c>
      <c r="X35" s="38">
        <v>2300000</v>
      </c>
      <c r="Y35" s="132">
        <v>20000000</v>
      </c>
      <c r="Z35" s="38">
        <v>23700000</v>
      </c>
      <c r="AA35" s="91"/>
      <c r="AB35" s="91">
        <f t="shared" ref="AB35:AB37" si="19">+T35*0.01/1.23</f>
        <v>373983.7398373984</v>
      </c>
      <c r="AC35" s="91"/>
      <c r="AD35" s="91">
        <f t="shared" ref="AD35:AD37" si="20">+AB35*1.15</f>
        <v>430081.30081300816</v>
      </c>
      <c r="AE35" s="91"/>
      <c r="AF35" s="91">
        <f t="shared" si="18"/>
        <v>494593.49593495933</v>
      </c>
      <c r="AG35" s="204"/>
    </row>
    <row r="36" spans="1:74" s="103" customFormat="1" ht="90" customHeight="1">
      <c r="A36" s="102">
        <f t="shared" si="17"/>
        <v>15</v>
      </c>
      <c r="B36" s="52" t="s">
        <v>110</v>
      </c>
      <c r="C36" s="51" t="s">
        <v>111</v>
      </c>
      <c r="D36" s="35" t="s">
        <v>65</v>
      </c>
      <c r="E36" s="35" t="s">
        <v>66</v>
      </c>
      <c r="F36" s="36" t="s">
        <v>67</v>
      </c>
      <c r="G36" s="35" t="s">
        <v>48</v>
      </c>
      <c r="H36" s="51" t="s">
        <v>68</v>
      </c>
      <c r="I36" s="34" t="s">
        <v>84</v>
      </c>
      <c r="J36" s="52" t="s">
        <v>84</v>
      </c>
      <c r="K36" s="52"/>
      <c r="L36" s="51" t="s">
        <v>49</v>
      </c>
      <c r="M36" s="51" t="s">
        <v>2</v>
      </c>
      <c r="N36" s="36" t="s">
        <v>50</v>
      </c>
      <c r="O36" s="51"/>
      <c r="P36" s="51" t="s">
        <v>112</v>
      </c>
      <c r="Q36" s="37">
        <v>42826</v>
      </c>
      <c r="R36" s="37">
        <v>43281</v>
      </c>
      <c r="S36" s="35" t="s">
        <v>96</v>
      </c>
      <c r="T36" s="38">
        <v>40000000</v>
      </c>
      <c r="U36" s="39"/>
      <c r="V36" s="131">
        <v>0</v>
      </c>
      <c r="W36" s="38">
        <v>0</v>
      </c>
      <c r="X36" s="38">
        <v>0</v>
      </c>
      <c r="Y36" s="132">
        <f>+T36*0.235*0.3</f>
        <v>2820000</v>
      </c>
      <c r="Z36" s="38">
        <f>+T36-Y36-AA36</f>
        <v>34380000</v>
      </c>
      <c r="AA36" s="91">
        <f>+T36*0.07</f>
        <v>2800000.0000000005</v>
      </c>
      <c r="AB36" s="91">
        <f t="shared" si="19"/>
        <v>325203.25203252031</v>
      </c>
      <c r="AC36" s="91">
        <v>0</v>
      </c>
      <c r="AD36" s="91">
        <f t="shared" si="20"/>
        <v>373983.73983739835</v>
      </c>
      <c r="AE36" s="91">
        <v>0</v>
      </c>
      <c r="AF36" s="91">
        <f t="shared" si="18"/>
        <v>430081.30081300804</v>
      </c>
      <c r="AG36" s="204">
        <v>0</v>
      </c>
    </row>
    <row r="37" spans="1:74" s="103" customFormat="1" ht="90" customHeight="1">
      <c r="A37" s="102">
        <f t="shared" si="17"/>
        <v>16</v>
      </c>
      <c r="B37" s="52" t="s">
        <v>113</v>
      </c>
      <c r="C37" s="51" t="s">
        <v>114</v>
      </c>
      <c r="D37" s="35" t="s">
        <v>65</v>
      </c>
      <c r="E37" s="35">
        <v>800017533</v>
      </c>
      <c r="F37" s="36" t="s">
        <v>67</v>
      </c>
      <c r="G37" s="35" t="s">
        <v>48</v>
      </c>
      <c r="H37" s="51" t="s">
        <v>57</v>
      </c>
      <c r="I37" s="34" t="s">
        <v>115</v>
      </c>
      <c r="J37" s="52" t="s">
        <v>116</v>
      </c>
      <c r="K37" s="52"/>
      <c r="L37" s="51" t="s">
        <v>61</v>
      </c>
      <c r="M37" s="51" t="s">
        <v>117</v>
      </c>
      <c r="N37" s="36" t="s">
        <v>50</v>
      </c>
      <c r="O37" s="51"/>
      <c r="P37" s="51" t="s">
        <v>118</v>
      </c>
      <c r="Q37" s="37">
        <v>42826</v>
      </c>
      <c r="R37" s="37">
        <v>43189</v>
      </c>
      <c r="S37" s="35" t="s">
        <v>96</v>
      </c>
      <c r="T37" s="38">
        <v>25000000</v>
      </c>
      <c r="U37" s="39"/>
      <c r="V37" s="131">
        <v>0</v>
      </c>
      <c r="W37" s="38">
        <v>0</v>
      </c>
      <c r="X37" s="38">
        <v>0</v>
      </c>
      <c r="Y37" s="132">
        <v>1250000</v>
      </c>
      <c r="Z37" s="38">
        <v>24700000</v>
      </c>
      <c r="AA37" s="91">
        <v>0</v>
      </c>
      <c r="AB37" s="91">
        <f t="shared" si="19"/>
        <v>203252.03252032521</v>
      </c>
      <c r="AC37" s="91">
        <v>0</v>
      </c>
      <c r="AD37" s="91">
        <f t="shared" si="20"/>
        <v>233739.83739837399</v>
      </c>
      <c r="AE37" s="91">
        <v>0</v>
      </c>
      <c r="AF37" s="91">
        <f t="shared" si="18"/>
        <v>268800.81300813006</v>
      </c>
      <c r="AG37" s="204">
        <v>0</v>
      </c>
    </row>
    <row r="38" spans="1:74" s="103" customFormat="1" ht="90" customHeight="1">
      <c r="A38" s="102">
        <f t="shared" si="17"/>
        <v>17</v>
      </c>
      <c r="B38" s="52" t="s">
        <v>119</v>
      </c>
      <c r="C38" s="51" t="s">
        <v>120</v>
      </c>
      <c r="D38" s="35" t="s">
        <v>121</v>
      </c>
      <c r="E38" s="35">
        <v>800017806</v>
      </c>
      <c r="F38" s="36" t="s">
        <v>67</v>
      </c>
      <c r="G38" s="35" t="s">
        <v>48</v>
      </c>
      <c r="H38" s="51" t="s">
        <v>57</v>
      </c>
      <c r="I38" s="34" t="s">
        <v>122</v>
      </c>
      <c r="J38" s="52" t="s">
        <v>123</v>
      </c>
      <c r="K38" s="52"/>
      <c r="L38" s="51" t="s">
        <v>49</v>
      </c>
      <c r="M38" s="51" t="s">
        <v>3</v>
      </c>
      <c r="N38" s="36" t="s">
        <v>3</v>
      </c>
      <c r="O38" s="51"/>
      <c r="P38" s="51" t="s">
        <v>124</v>
      </c>
      <c r="Q38" s="37">
        <v>41485</v>
      </c>
      <c r="R38" s="37">
        <v>41943</v>
      </c>
      <c r="S38" s="35" t="s">
        <v>52</v>
      </c>
      <c r="T38" s="38">
        <f>46786000</f>
        <v>46786000</v>
      </c>
      <c r="U38" s="39"/>
      <c r="V38" s="131">
        <v>5000000</v>
      </c>
      <c r="W38" s="38">
        <v>40078000</v>
      </c>
      <c r="X38" s="38">
        <f>+T38-W38</f>
        <v>6708000</v>
      </c>
      <c r="Y38" s="38">
        <v>0</v>
      </c>
      <c r="Z38" s="38">
        <f>+T38*0.01/1.23</f>
        <v>380373.98373983742</v>
      </c>
      <c r="AA38" s="91">
        <v>0</v>
      </c>
      <c r="AB38" s="91">
        <f>+Z38*1.15</f>
        <v>437430.08130081301</v>
      </c>
      <c r="AC38" s="91">
        <v>0</v>
      </c>
      <c r="AD38" s="91">
        <f t="shared" ref="AD38" si="21">+AB38*1.15</f>
        <v>503044.59349593491</v>
      </c>
      <c r="AE38" s="91">
        <v>0</v>
      </c>
      <c r="AF38" s="91">
        <f t="shared" ref="AF38" si="22">+AD38*1.15</f>
        <v>578501.28252032516</v>
      </c>
      <c r="AG38" s="204">
        <v>0</v>
      </c>
    </row>
    <row r="39" spans="1:74" s="103" customFormat="1" ht="90" customHeight="1">
      <c r="A39" s="102">
        <f t="shared" si="17"/>
        <v>18</v>
      </c>
      <c r="B39" s="52" t="s">
        <v>125</v>
      </c>
      <c r="C39" s="51" t="s">
        <v>126</v>
      </c>
      <c r="D39" s="35" t="s">
        <v>121</v>
      </c>
      <c r="E39" s="35" t="s">
        <v>127</v>
      </c>
      <c r="F39" s="36" t="s">
        <v>47</v>
      </c>
      <c r="G39" s="35" t="s">
        <v>48</v>
      </c>
      <c r="H39" s="51" t="s">
        <v>68</v>
      </c>
      <c r="I39" s="34" t="s">
        <v>84</v>
      </c>
      <c r="J39" s="52" t="s">
        <v>84</v>
      </c>
      <c r="K39" s="52"/>
      <c r="L39" s="51" t="s">
        <v>49</v>
      </c>
      <c r="M39" s="51" t="s">
        <v>3</v>
      </c>
      <c r="N39" s="36" t="s">
        <v>3</v>
      </c>
      <c r="O39" s="51"/>
      <c r="P39" s="51" t="s">
        <v>128</v>
      </c>
      <c r="Q39" s="37" t="s">
        <v>53</v>
      </c>
      <c r="R39" s="37" t="s">
        <v>53</v>
      </c>
      <c r="S39" s="35" t="s">
        <v>87</v>
      </c>
      <c r="T39" s="38">
        <v>250000000</v>
      </c>
      <c r="U39" s="39"/>
      <c r="V39" s="131">
        <v>3000000</v>
      </c>
      <c r="W39" s="38">
        <v>0</v>
      </c>
      <c r="X39" s="38">
        <f>9222610+120000000</f>
        <v>129222610</v>
      </c>
      <c r="Y39" s="132">
        <f>+T39-W39-X39-Z39</f>
        <v>65777390</v>
      </c>
      <c r="Z39" s="38">
        <v>55000000</v>
      </c>
      <c r="AA39" s="91">
        <v>0</v>
      </c>
      <c r="AB39" s="91">
        <f t="shared" ref="AB39:AB40" si="23">+T39*0.01/1.23</f>
        <v>2032520.325203252</v>
      </c>
      <c r="AC39" s="91">
        <v>0</v>
      </c>
      <c r="AD39" s="91">
        <f t="shared" ref="AD39:AD40" si="24">+AB39*1.15</f>
        <v>2337398.3739837399</v>
      </c>
      <c r="AE39" s="91">
        <v>0</v>
      </c>
      <c r="AF39" s="91">
        <f t="shared" ref="AF39:AF40" si="25">+AD39*1.15</f>
        <v>2688008.1300813006</v>
      </c>
      <c r="AG39" s="204">
        <v>0</v>
      </c>
    </row>
    <row r="40" spans="1:74" s="103" customFormat="1" ht="90" customHeight="1">
      <c r="A40" s="102">
        <f t="shared" si="17"/>
        <v>19</v>
      </c>
      <c r="B40" s="52" t="s">
        <v>129</v>
      </c>
      <c r="C40" s="51" t="s">
        <v>130</v>
      </c>
      <c r="D40" s="35" t="s">
        <v>73</v>
      </c>
      <c r="E40" s="35">
        <v>800035304</v>
      </c>
      <c r="F40" s="36" t="s">
        <v>67</v>
      </c>
      <c r="G40" s="35" t="s">
        <v>48</v>
      </c>
      <c r="H40" s="51" t="s">
        <v>68</v>
      </c>
      <c r="I40" s="34" t="s">
        <v>69</v>
      </c>
      <c r="J40" s="52" t="s">
        <v>70</v>
      </c>
      <c r="K40" s="52" t="s">
        <v>60</v>
      </c>
      <c r="L40" s="51" t="s">
        <v>49</v>
      </c>
      <c r="M40" s="51" t="s">
        <v>2</v>
      </c>
      <c r="N40" s="36" t="s">
        <v>50</v>
      </c>
      <c r="O40" s="51"/>
      <c r="P40" s="51" t="s">
        <v>131</v>
      </c>
      <c r="Q40" s="37">
        <v>42461</v>
      </c>
      <c r="R40" s="37">
        <v>42916</v>
      </c>
      <c r="S40" s="35" t="s">
        <v>87</v>
      </c>
      <c r="T40" s="38">
        <v>48000000</v>
      </c>
      <c r="U40" s="39"/>
      <c r="V40" s="131">
        <v>0</v>
      </c>
      <c r="W40" s="38">
        <v>0</v>
      </c>
      <c r="X40" s="38">
        <v>2400000</v>
      </c>
      <c r="Y40" s="132">
        <v>21125000</v>
      </c>
      <c r="Z40" s="38">
        <v>24475000</v>
      </c>
      <c r="AA40" s="91">
        <v>0</v>
      </c>
      <c r="AB40" s="91">
        <f t="shared" si="23"/>
        <v>390243.90243902442</v>
      </c>
      <c r="AC40" s="91">
        <v>0</v>
      </c>
      <c r="AD40" s="91">
        <f t="shared" si="24"/>
        <v>448780.48780487804</v>
      </c>
      <c r="AE40" s="91">
        <v>0</v>
      </c>
      <c r="AF40" s="91">
        <f t="shared" si="25"/>
        <v>516097.5609756097</v>
      </c>
      <c r="AG40" s="204">
        <v>0</v>
      </c>
      <c r="AL40" s="103">
        <f>SUM(BK40:BV40)</f>
        <v>15199999.999999998</v>
      </c>
      <c r="BK40" s="103">
        <v>1266666.6666666667</v>
      </c>
      <c r="BL40" s="103">
        <v>1266666.6666666667</v>
      </c>
      <c r="BM40" s="103">
        <v>1266666.6666666667</v>
      </c>
      <c r="BN40" s="103">
        <v>1266666.6666666667</v>
      </c>
      <c r="BO40" s="103">
        <v>1266666.6666666667</v>
      </c>
      <c r="BP40" s="103">
        <v>1266666.6666666667</v>
      </c>
      <c r="BQ40" s="103">
        <v>1266666.6666666667</v>
      </c>
      <c r="BR40" s="103">
        <v>1266666.6666666667</v>
      </c>
      <c r="BS40" s="103">
        <v>1266666.6666666667</v>
      </c>
      <c r="BT40" s="103">
        <v>1266666.6666666667</v>
      </c>
      <c r="BU40" s="103">
        <v>1266666.6666666667</v>
      </c>
      <c r="BV40" s="103">
        <v>1266666.6666666667</v>
      </c>
    </row>
    <row r="41" spans="1:74" s="103" customFormat="1" ht="90" customHeight="1">
      <c r="A41" s="102">
        <f t="shared" si="17"/>
        <v>20</v>
      </c>
      <c r="B41" s="52" t="s">
        <v>132</v>
      </c>
      <c r="C41" s="51" t="s">
        <v>133</v>
      </c>
      <c r="D41" s="35" t="s">
        <v>73</v>
      </c>
      <c r="E41" s="35" t="s">
        <v>127</v>
      </c>
      <c r="F41" s="36" t="s">
        <v>67</v>
      </c>
      <c r="G41" s="35" t="s">
        <v>48</v>
      </c>
      <c r="H41" s="51" t="s">
        <v>68</v>
      </c>
      <c r="I41" s="34" t="s">
        <v>84</v>
      </c>
      <c r="J41" s="52" t="s">
        <v>84</v>
      </c>
      <c r="K41" s="52"/>
      <c r="L41" s="51" t="s">
        <v>49</v>
      </c>
      <c r="M41" s="51" t="s">
        <v>2</v>
      </c>
      <c r="N41" s="36" t="s">
        <v>50</v>
      </c>
      <c r="O41" s="51"/>
      <c r="P41" s="51" t="s">
        <v>134</v>
      </c>
      <c r="Q41" s="37">
        <v>42461</v>
      </c>
      <c r="R41" s="37">
        <v>42916</v>
      </c>
      <c r="S41" s="35" t="s">
        <v>87</v>
      </c>
      <c r="T41" s="38">
        <v>39000000</v>
      </c>
      <c r="U41" s="39"/>
      <c r="V41" s="131">
        <v>0</v>
      </c>
      <c r="W41" s="38">
        <v>0</v>
      </c>
      <c r="X41" s="38">
        <v>1950000</v>
      </c>
      <c r="Y41" s="132">
        <v>22945078</v>
      </c>
      <c r="Z41" s="38">
        <f>+T41-X41-Y41</f>
        <v>14104922</v>
      </c>
      <c r="AA41" s="91">
        <v>0</v>
      </c>
      <c r="AB41" s="91">
        <f>+T41*0.01/1.23</f>
        <v>317073.1707317073</v>
      </c>
      <c r="AC41" s="91">
        <v>0</v>
      </c>
      <c r="AD41" s="91">
        <f>+AB41*1.15</f>
        <v>364634.14634146338</v>
      </c>
      <c r="AE41" s="91">
        <v>0</v>
      </c>
      <c r="AF41" s="91">
        <f>+AD41*1.15</f>
        <v>419329.26829268283</v>
      </c>
      <c r="AG41" s="204">
        <v>0</v>
      </c>
    </row>
    <row r="42" spans="1:74" s="103" customFormat="1" ht="90" customHeight="1">
      <c r="A42" s="102">
        <f t="shared" si="17"/>
        <v>21</v>
      </c>
      <c r="B42" s="52" t="s">
        <v>135</v>
      </c>
      <c r="C42" s="51" t="s">
        <v>136</v>
      </c>
      <c r="D42" s="35" t="s">
        <v>73</v>
      </c>
      <c r="E42" s="35" t="s">
        <v>66</v>
      </c>
      <c r="F42" s="36" t="s">
        <v>67</v>
      </c>
      <c r="G42" s="35" t="s">
        <v>48</v>
      </c>
      <c r="H42" s="51" t="s">
        <v>68</v>
      </c>
      <c r="I42" s="34" t="s">
        <v>84</v>
      </c>
      <c r="J42" s="52" t="s">
        <v>84</v>
      </c>
      <c r="K42" s="52"/>
      <c r="L42" s="51" t="s">
        <v>49</v>
      </c>
      <c r="M42" s="51" t="s">
        <v>2</v>
      </c>
      <c r="N42" s="36" t="s">
        <v>50</v>
      </c>
      <c r="O42" s="51" t="s">
        <v>137</v>
      </c>
      <c r="P42" s="51" t="s">
        <v>138</v>
      </c>
      <c r="Q42" s="37">
        <v>41365</v>
      </c>
      <c r="R42" s="37">
        <v>41851</v>
      </c>
      <c r="S42" s="35" t="s">
        <v>52</v>
      </c>
      <c r="T42" s="38">
        <v>48857000</v>
      </c>
      <c r="U42" s="39"/>
      <c r="V42" s="131">
        <v>13000000</v>
      </c>
      <c r="W42" s="38">
        <f>39294000-X42</f>
        <v>36362580</v>
      </c>
      <c r="X42" s="38">
        <f>+T42*0.06</f>
        <v>2931420</v>
      </c>
      <c r="Y42" s="38">
        <v>0</v>
      </c>
      <c r="Z42" s="38">
        <f>+T42*0.01</f>
        <v>488570</v>
      </c>
      <c r="AA42" s="91">
        <f>+Y42*1.15</f>
        <v>0</v>
      </c>
      <c r="AB42" s="91">
        <f t="shared" ref="AB42:AF42" si="26">+Z42*1.15</f>
        <v>561855.5</v>
      </c>
      <c r="AC42" s="91">
        <f t="shared" si="26"/>
        <v>0</v>
      </c>
      <c r="AD42" s="91">
        <f t="shared" si="26"/>
        <v>646133.82499999995</v>
      </c>
      <c r="AE42" s="91">
        <f t="shared" si="26"/>
        <v>0</v>
      </c>
      <c r="AF42" s="91">
        <f t="shared" si="26"/>
        <v>743053.89874999993</v>
      </c>
      <c r="AG42" s="204">
        <f>+AE42*1.15</f>
        <v>0</v>
      </c>
    </row>
    <row r="43" spans="1:74" s="103" customFormat="1" ht="90" customHeight="1">
      <c r="A43" s="102">
        <f t="shared" si="17"/>
        <v>22</v>
      </c>
      <c r="B43" s="52" t="s">
        <v>139</v>
      </c>
      <c r="C43" s="51" t="s">
        <v>140</v>
      </c>
      <c r="D43" s="35" t="s">
        <v>73</v>
      </c>
      <c r="E43" s="35">
        <v>800036512</v>
      </c>
      <c r="F43" s="36" t="s">
        <v>67</v>
      </c>
      <c r="G43" s="35" t="s">
        <v>48</v>
      </c>
      <c r="H43" s="51" t="s">
        <v>57</v>
      </c>
      <c r="I43" s="34" t="s">
        <v>141</v>
      </c>
      <c r="J43" s="52" t="s">
        <v>59</v>
      </c>
      <c r="K43" s="52" t="s">
        <v>60</v>
      </c>
      <c r="L43" s="51" t="s">
        <v>49</v>
      </c>
      <c r="M43" s="51" t="s">
        <v>2</v>
      </c>
      <c r="N43" s="36" t="s">
        <v>50</v>
      </c>
      <c r="O43" s="51" t="s">
        <v>142</v>
      </c>
      <c r="P43" s="51" t="s">
        <v>143</v>
      </c>
      <c r="Q43" s="37">
        <v>41548</v>
      </c>
      <c r="R43" s="37">
        <v>41729</v>
      </c>
      <c r="S43" s="35" t="s">
        <v>52</v>
      </c>
      <c r="T43" s="38">
        <v>45489000</v>
      </c>
      <c r="U43" s="39"/>
      <c r="V43" s="131">
        <f>9187000+17500000</f>
        <v>26687000</v>
      </c>
      <c r="W43" s="38">
        <v>13809000</v>
      </c>
      <c r="X43" s="38">
        <v>0</v>
      </c>
      <c r="Y43" s="132">
        <f>+T43*0.01/1.23</f>
        <v>369829.26829268294</v>
      </c>
      <c r="Z43" s="38">
        <v>0</v>
      </c>
      <c r="AA43" s="91">
        <f>+Y43*1.15</f>
        <v>425303.65853658534</v>
      </c>
      <c r="AB43" s="91"/>
      <c r="AC43" s="91">
        <f>+AA43*1.15</f>
        <v>489099.20731707313</v>
      </c>
      <c r="AD43" s="91"/>
      <c r="AE43" s="91">
        <f>+AC43*1.15</f>
        <v>562464.08841463411</v>
      </c>
      <c r="AF43" s="91"/>
      <c r="AG43" s="204">
        <f>+AE43*1.15</f>
        <v>646833.70167682914</v>
      </c>
    </row>
    <row r="44" spans="1:74" s="103" customFormat="1" ht="90" customHeight="1">
      <c r="A44" s="102">
        <f t="shared" si="17"/>
        <v>23</v>
      </c>
      <c r="B44" s="52" t="s">
        <v>144</v>
      </c>
      <c r="C44" s="51" t="s">
        <v>145</v>
      </c>
      <c r="D44" s="35" t="s">
        <v>65</v>
      </c>
      <c r="E44" s="35">
        <v>800035602</v>
      </c>
      <c r="F44" s="36" t="s">
        <v>67</v>
      </c>
      <c r="G44" s="35" t="s">
        <v>48</v>
      </c>
      <c r="H44" s="51" t="s">
        <v>97</v>
      </c>
      <c r="I44" s="34" t="s">
        <v>146</v>
      </c>
      <c r="J44" s="52" t="s">
        <v>147</v>
      </c>
      <c r="K44" s="52" t="s">
        <v>60</v>
      </c>
      <c r="L44" s="51" t="s">
        <v>49</v>
      </c>
      <c r="M44" s="51" t="s">
        <v>2</v>
      </c>
      <c r="N44" s="36" t="s">
        <v>50</v>
      </c>
      <c r="O44" s="51"/>
      <c r="P44" s="51" t="s">
        <v>148</v>
      </c>
      <c r="Q44" s="37">
        <v>42461</v>
      </c>
      <c r="R44" s="37">
        <v>42916</v>
      </c>
      <c r="S44" s="35" t="s">
        <v>87</v>
      </c>
      <c r="T44" s="38">
        <v>42000000</v>
      </c>
      <c r="U44" s="39"/>
      <c r="V44" s="131">
        <v>0</v>
      </c>
      <c r="W44" s="38">
        <v>0</v>
      </c>
      <c r="X44" s="38">
        <f>+T44*0.235*0.3</f>
        <v>2961000</v>
      </c>
      <c r="Y44" s="132">
        <f>+T44-X44</f>
        <v>39039000</v>
      </c>
      <c r="Z44" s="38">
        <f>+T44*0.06</f>
        <v>2520000</v>
      </c>
      <c r="AA44" s="91">
        <v>0</v>
      </c>
      <c r="AB44" s="91">
        <f>+T44*0.01</f>
        <v>420000</v>
      </c>
      <c r="AC44" s="91">
        <f>+AA44*1.13</f>
        <v>0</v>
      </c>
      <c r="AD44" s="91">
        <f>+AB44*1.15</f>
        <v>482999.99999999994</v>
      </c>
      <c r="AE44" s="91">
        <f t="shared" ref="AE44:AE45" si="27">+AC44*1.13</f>
        <v>0</v>
      </c>
      <c r="AF44" s="91">
        <f>+AD44*1.15</f>
        <v>555449.99999999988</v>
      </c>
      <c r="AG44" s="204">
        <f>+AE44*1.15</f>
        <v>0</v>
      </c>
    </row>
    <row r="45" spans="1:74" s="103" customFormat="1" ht="90" customHeight="1">
      <c r="A45" s="102">
        <f t="shared" si="17"/>
        <v>24</v>
      </c>
      <c r="B45" s="52" t="s">
        <v>149</v>
      </c>
      <c r="C45" s="51" t="s">
        <v>150</v>
      </c>
      <c r="D45" s="35" t="s">
        <v>73</v>
      </c>
      <c r="E45" s="35" t="s">
        <v>66</v>
      </c>
      <c r="F45" s="36" t="s">
        <v>67</v>
      </c>
      <c r="G45" s="35" t="s">
        <v>48</v>
      </c>
      <c r="H45" s="51" t="s">
        <v>68</v>
      </c>
      <c r="I45" s="34" t="s">
        <v>150</v>
      </c>
      <c r="J45" s="52" t="s">
        <v>84</v>
      </c>
      <c r="K45" s="52"/>
      <c r="L45" s="51" t="s">
        <v>49</v>
      </c>
      <c r="M45" s="51" t="s">
        <v>2</v>
      </c>
      <c r="N45" s="36" t="s">
        <v>50</v>
      </c>
      <c r="O45" s="51"/>
      <c r="P45" s="51" t="s">
        <v>151</v>
      </c>
      <c r="Q45" s="37">
        <v>42095</v>
      </c>
      <c r="R45" s="37">
        <v>42551</v>
      </c>
      <c r="S45" s="35" t="s">
        <v>87</v>
      </c>
      <c r="T45" s="38">
        <v>47933162</v>
      </c>
      <c r="U45" s="39"/>
      <c r="V45" s="131">
        <v>0</v>
      </c>
      <c r="W45" s="38">
        <v>0</v>
      </c>
      <c r="X45" s="38">
        <f>+T45*0.235*0.3</f>
        <v>3379287.9209999996</v>
      </c>
      <c r="Y45" s="132">
        <f>+T45-X45</f>
        <v>44553874.079000004</v>
      </c>
      <c r="Z45" s="38">
        <f>+T45*0.06</f>
        <v>2875989.7199999997</v>
      </c>
      <c r="AA45" s="91">
        <v>0</v>
      </c>
      <c r="AB45" s="91">
        <f>+T45*0.01</f>
        <v>479331.62</v>
      </c>
      <c r="AC45" s="91">
        <f>+AA45*1.13</f>
        <v>0</v>
      </c>
      <c r="AD45" s="91">
        <f>+AB45*1.15</f>
        <v>551231.3629999999</v>
      </c>
      <c r="AE45" s="91">
        <f t="shared" si="27"/>
        <v>0</v>
      </c>
      <c r="AF45" s="91">
        <f>+AD45*1.15</f>
        <v>633916.06744999986</v>
      </c>
      <c r="AG45" s="204">
        <f>+AE45*1.15</f>
        <v>0</v>
      </c>
    </row>
    <row r="46" spans="1:74" s="103" customFormat="1" ht="90" customHeight="1">
      <c r="A46" s="102">
        <f t="shared" si="17"/>
        <v>25</v>
      </c>
      <c r="B46" s="52" t="s">
        <v>152</v>
      </c>
      <c r="C46" s="51" t="s">
        <v>153</v>
      </c>
      <c r="D46" s="35" t="s">
        <v>65</v>
      </c>
      <c r="E46" s="35">
        <v>800000943</v>
      </c>
      <c r="F46" s="36" t="s">
        <v>67</v>
      </c>
      <c r="G46" s="35" t="s">
        <v>48</v>
      </c>
      <c r="H46" s="51" t="s">
        <v>57</v>
      </c>
      <c r="I46" s="34" t="s">
        <v>141</v>
      </c>
      <c r="J46" s="52" t="s">
        <v>59</v>
      </c>
      <c r="K46" s="52" t="s">
        <v>60</v>
      </c>
      <c r="L46" s="51" t="s">
        <v>49</v>
      </c>
      <c r="M46" s="51" t="s">
        <v>100</v>
      </c>
      <c r="N46" s="36" t="s">
        <v>50</v>
      </c>
      <c r="O46" s="51"/>
      <c r="P46" s="51" t="s">
        <v>154</v>
      </c>
      <c r="Q46" s="37">
        <v>42461</v>
      </c>
      <c r="R46" s="37">
        <v>42824</v>
      </c>
      <c r="S46" s="35" t="s">
        <v>87</v>
      </c>
      <c r="T46" s="38">
        <v>8400462</v>
      </c>
      <c r="U46" s="39">
        <v>9327462</v>
      </c>
      <c r="V46" s="131"/>
      <c r="W46" s="38">
        <v>0</v>
      </c>
      <c r="X46" s="38">
        <v>856000</v>
      </c>
      <c r="Y46" s="132">
        <f>+T46-X46-Z46</f>
        <v>7123154</v>
      </c>
      <c r="Z46" s="38">
        <v>421308</v>
      </c>
      <c r="AA46" s="91">
        <v>0</v>
      </c>
      <c r="AB46" s="91">
        <f>15000000*0.01/1.23</f>
        <v>121951.21951219512</v>
      </c>
      <c r="AC46" s="91">
        <v>0</v>
      </c>
      <c r="AD46" s="91">
        <f>+AB46*1.15</f>
        <v>140243.90243902439</v>
      </c>
      <c r="AE46" s="91">
        <v>0</v>
      </c>
      <c r="AF46" s="91">
        <f>+AD46*1.15</f>
        <v>161280.48780487804</v>
      </c>
      <c r="AG46" s="204">
        <v>0</v>
      </c>
      <c r="AL46" s="103">
        <v>151791.13539769273</v>
      </c>
      <c r="AM46" s="103">
        <v>252985.22566282121</v>
      </c>
      <c r="AN46" s="103">
        <v>354179.31592794979</v>
      </c>
      <c r="AO46" s="103">
        <v>455373.40619307873</v>
      </c>
      <c r="AP46" s="103">
        <v>556567.49645820609</v>
      </c>
      <c r="AQ46" s="103">
        <v>657761.58672333579</v>
      </c>
      <c r="AR46" s="103">
        <v>758955.67698846338</v>
      </c>
      <c r="AS46" s="103">
        <v>860149.76725359308</v>
      </c>
      <c r="AT46" s="103">
        <v>961343.85751872184</v>
      </c>
      <c r="AU46" s="103">
        <v>1062537.9477838501</v>
      </c>
      <c r="AV46" s="103">
        <v>1163732.0380489742</v>
      </c>
      <c r="AW46" s="103">
        <v>1264926.1283141086</v>
      </c>
      <c r="AX46" s="103">
        <v>1366120.2185792346</v>
      </c>
      <c r="AY46" s="103">
        <v>1467314.308844367</v>
      </c>
      <c r="AZ46" s="103">
        <v>1568508.3991094865</v>
      </c>
      <c r="BA46" s="103">
        <v>1669702.4893746227</v>
      </c>
      <c r="BB46" s="103">
        <v>1770896.5796397496</v>
      </c>
      <c r="BC46" s="103">
        <v>1872090.6699048784</v>
      </c>
      <c r="BD46" s="103">
        <v>1973284.760170009</v>
      </c>
      <c r="BE46" s="103">
        <v>2074478.8504351303</v>
      </c>
      <c r="BF46" s="103">
        <v>2175465.3630792089</v>
      </c>
      <c r="BG46" s="103">
        <v>2136752.1367521286</v>
      </c>
      <c r="BH46" s="103">
        <v>1978474.2006964274</v>
      </c>
      <c r="BI46" s="103">
        <v>1820196.2646407075</v>
      </c>
      <c r="BJ46" s="103">
        <v>1661918.3285849988</v>
      </c>
      <c r="BK46" s="103">
        <v>1503640.3925292827</v>
      </c>
      <c r="BL46" s="103">
        <v>1345362.4564735666</v>
      </c>
      <c r="BM46" s="103">
        <v>1187084.5204178542</v>
      </c>
      <c r="BN46" s="103">
        <v>1028806.5843621343</v>
      </c>
      <c r="BO46" s="103">
        <v>870528.64830642939</v>
      </c>
      <c r="BP46" s="103">
        <v>712250.71225070953</v>
      </c>
      <c r="BQ46" s="103">
        <v>553972.77619500458</v>
      </c>
      <c r="BR46" s="103">
        <v>395694.84013928473</v>
      </c>
      <c r="BS46" s="103">
        <v>237416.90408356488</v>
      </c>
      <c r="BT46" s="103">
        <v>79138.968027859926</v>
      </c>
    </row>
    <row r="47" spans="1:74" s="103" customFormat="1" ht="90" customHeight="1">
      <c r="A47" s="102">
        <f t="shared" si="17"/>
        <v>26</v>
      </c>
      <c r="B47" s="52" t="s">
        <v>155</v>
      </c>
      <c r="C47" s="51" t="s">
        <v>156</v>
      </c>
      <c r="D47" s="35" t="s">
        <v>73</v>
      </c>
      <c r="E47" s="35">
        <v>800035526</v>
      </c>
      <c r="F47" s="36" t="s">
        <v>67</v>
      </c>
      <c r="G47" s="35" t="s">
        <v>48</v>
      </c>
      <c r="H47" s="51" t="s">
        <v>57</v>
      </c>
      <c r="I47" s="34" t="s">
        <v>157</v>
      </c>
      <c r="J47" s="52" t="s">
        <v>158</v>
      </c>
      <c r="K47" s="52"/>
      <c r="L47" s="51" t="s">
        <v>49</v>
      </c>
      <c r="M47" s="51" t="s">
        <v>2</v>
      </c>
      <c r="N47" s="36" t="s">
        <v>50</v>
      </c>
      <c r="O47" s="51" t="s">
        <v>159</v>
      </c>
      <c r="P47" s="51" t="s">
        <v>160</v>
      </c>
      <c r="Q47" s="37">
        <v>41157</v>
      </c>
      <c r="R47" s="37">
        <v>41789</v>
      </c>
      <c r="S47" s="35" t="s">
        <v>52</v>
      </c>
      <c r="T47" s="38">
        <v>44065185</v>
      </c>
      <c r="U47" s="39"/>
      <c r="V47" s="131">
        <f>311000+12000000</f>
        <v>12311000</v>
      </c>
      <c r="W47" s="38">
        <v>22915000</v>
      </c>
      <c r="X47" s="38">
        <v>0</v>
      </c>
      <c r="Y47" s="132">
        <f>+T47*0.01/1.23</f>
        <v>358253.53658536589</v>
      </c>
      <c r="Z47" s="38">
        <v>0</v>
      </c>
      <c r="AA47" s="91">
        <f>+Y47*1.15</f>
        <v>411991.56707317074</v>
      </c>
      <c r="AB47" s="91"/>
      <c r="AC47" s="91">
        <f>+AA47*1.15</f>
        <v>473790.30213414633</v>
      </c>
      <c r="AD47" s="91"/>
      <c r="AE47" s="91">
        <f>+AC47*1.15</f>
        <v>544858.84745426825</v>
      </c>
      <c r="AF47" s="91"/>
      <c r="AG47" s="204">
        <f>+AE47*1.15</f>
        <v>626587.67457240843</v>
      </c>
    </row>
    <row r="48" spans="1:74" s="103" customFormat="1" ht="90" customHeight="1">
      <c r="A48" s="102">
        <f t="shared" si="17"/>
        <v>27</v>
      </c>
      <c r="B48" s="52" t="s">
        <v>161</v>
      </c>
      <c r="C48" s="51" t="s">
        <v>162</v>
      </c>
      <c r="D48" s="35" t="s">
        <v>73</v>
      </c>
      <c r="E48" s="35" t="s">
        <v>66</v>
      </c>
      <c r="F48" s="36" t="s">
        <v>67</v>
      </c>
      <c r="G48" s="35" t="s">
        <v>48</v>
      </c>
      <c r="H48" s="51" t="s">
        <v>97</v>
      </c>
      <c r="I48" s="34" t="s">
        <v>163</v>
      </c>
      <c r="J48" s="52" t="s">
        <v>164</v>
      </c>
      <c r="K48" s="52"/>
      <c r="L48" s="51" t="s">
        <v>49</v>
      </c>
      <c r="M48" s="51" t="s">
        <v>2</v>
      </c>
      <c r="N48" s="36" t="s">
        <v>50</v>
      </c>
      <c r="O48" s="51" t="s">
        <v>165</v>
      </c>
      <c r="P48" s="51" t="s">
        <v>160</v>
      </c>
      <c r="Q48" s="37">
        <v>41159</v>
      </c>
      <c r="R48" s="37">
        <v>41789</v>
      </c>
      <c r="S48" s="35" t="s">
        <v>52</v>
      </c>
      <c r="T48" s="38">
        <v>46644000</v>
      </c>
      <c r="U48" s="39"/>
      <c r="V48" s="131">
        <f>7904000+15000000</f>
        <v>22904000</v>
      </c>
      <c r="W48" s="38">
        <v>24357000</v>
      </c>
      <c r="X48" s="38">
        <v>0</v>
      </c>
      <c r="Y48" s="132">
        <f>+T48*0.01/1.23</f>
        <v>379219.51219512196</v>
      </c>
      <c r="Z48" s="38">
        <v>0</v>
      </c>
      <c r="AA48" s="91">
        <f>+Y48*1.15</f>
        <v>436102.43902439025</v>
      </c>
      <c r="AB48" s="91">
        <v>0</v>
      </c>
      <c r="AC48" s="91">
        <f>+AA48*1.15</f>
        <v>501517.80487804872</v>
      </c>
      <c r="AD48" s="91">
        <v>0</v>
      </c>
      <c r="AE48" s="91">
        <f>+AC48*1.15</f>
        <v>576745.47560975596</v>
      </c>
      <c r="AF48" s="91">
        <v>0</v>
      </c>
      <c r="AG48" s="204">
        <f>+AE48*1.15</f>
        <v>663257.29695121932</v>
      </c>
    </row>
    <row r="49" spans="1:33" s="103" customFormat="1" ht="90" customHeight="1">
      <c r="A49" s="102">
        <f t="shared" si="17"/>
        <v>28</v>
      </c>
      <c r="B49" s="52" t="s">
        <v>166</v>
      </c>
      <c r="C49" s="51" t="s">
        <v>167</v>
      </c>
      <c r="D49" s="35" t="s">
        <v>65</v>
      </c>
      <c r="E49" s="35">
        <v>800019042</v>
      </c>
      <c r="F49" s="36" t="s">
        <v>47</v>
      </c>
      <c r="G49" s="35" t="s">
        <v>48</v>
      </c>
      <c r="H49" s="51" t="s">
        <v>97</v>
      </c>
      <c r="I49" s="34" t="s">
        <v>168</v>
      </c>
      <c r="J49" s="52" t="s">
        <v>169</v>
      </c>
      <c r="K49" s="52" t="s">
        <v>60</v>
      </c>
      <c r="L49" s="51" t="s">
        <v>61</v>
      </c>
      <c r="M49" s="51" t="s">
        <v>4</v>
      </c>
      <c r="N49" s="36" t="s">
        <v>50</v>
      </c>
      <c r="O49" s="51"/>
      <c r="P49" s="51" t="s">
        <v>170</v>
      </c>
      <c r="Q49" s="37">
        <v>42461</v>
      </c>
      <c r="R49" s="37">
        <v>42825</v>
      </c>
      <c r="S49" s="35" t="s">
        <v>87</v>
      </c>
      <c r="T49" s="38">
        <f>+(5*((1141850+1714473+2097122)/9)+3658606+1350713+1293526+929210)*1.23*1.07</f>
        <v>13139901.454666667</v>
      </c>
      <c r="U49" s="39"/>
      <c r="V49" s="131">
        <v>1500000</v>
      </c>
      <c r="W49" s="38">
        <v>0</v>
      </c>
      <c r="X49" s="38">
        <f>+T49*0.235*0.3</f>
        <v>926363.05255399982</v>
      </c>
      <c r="Y49" s="132">
        <f>+T49-X49-Z49</f>
        <v>11556543.329379333</v>
      </c>
      <c r="Z49" s="38">
        <f>+T49*0.05</f>
        <v>656995.07273333333</v>
      </c>
      <c r="AA49" s="91">
        <v>0</v>
      </c>
      <c r="AB49" s="91">
        <f>+T49*0.01/1.23</f>
        <v>106828.46711111112</v>
      </c>
      <c r="AC49" s="91">
        <v>0</v>
      </c>
      <c r="AD49" s="91">
        <f>+AB49*1.15</f>
        <v>122852.73717777779</v>
      </c>
      <c r="AE49" s="91">
        <v>0</v>
      </c>
      <c r="AF49" s="91">
        <f>+AD49*1.15</f>
        <v>141280.64775444445</v>
      </c>
      <c r="AG49" s="204">
        <v>0</v>
      </c>
    </row>
    <row r="50" spans="1:33" s="103" customFormat="1" ht="90" customHeight="1">
      <c r="A50" s="102">
        <f t="shared" si="17"/>
        <v>29</v>
      </c>
      <c r="B50" s="52"/>
      <c r="C50" s="51" t="s">
        <v>171</v>
      </c>
      <c r="D50" s="35" t="s">
        <v>46</v>
      </c>
      <c r="E50" s="35" t="s">
        <v>46</v>
      </c>
      <c r="F50" s="36" t="s">
        <v>47</v>
      </c>
      <c r="G50" s="35" t="s">
        <v>48</v>
      </c>
      <c r="H50" s="51" t="s">
        <v>46</v>
      </c>
      <c r="I50" s="34" t="s">
        <v>46</v>
      </c>
      <c r="J50" s="52" t="s">
        <v>46</v>
      </c>
      <c r="K50" s="52"/>
      <c r="L50" s="51" t="s">
        <v>172</v>
      </c>
      <c r="M50" s="51" t="s">
        <v>4</v>
      </c>
      <c r="N50" s="36" t="s">
        <v>50</v>
      </c>
      <c r="O50" s="51"/>
      <c r="P50" s="51" t="s">
        <v>173</v>
      </c>
      <c r="Q50" s="37">
        <v>40787</v>
      </c>
      <c r="R50" s="37">
        <v>41912</v>
      </c>
      <c r="S50" s="35" t="s">
        <v>52</v>
      </c>
      <c r="T50" s="38">
        <v>13791032</v>
      </c>
      <c r="U50" s="39"/>
      <c r="V50" s="131">
        <v>2408731</v>
      </c>
      <c r="W50" s="38">
        <v>3766232</v>
      </c>
      <c r="X50" s="38">
        <f>2112922+1277303</f>
        <v>3390225</v>
      </c>
      <c r="Y50" s="132">
        <f>+X50*0.65</f>
        <v>2203646.25</v>
      </c>
      <c r="Z50" s="38">
        <f>+Y50*1.07</f>
        <v>2357901.4875000003</v>
      </c>
      <c r="AA50" s="91">
        <f>+Z50*1.07</f>
        <v>2522954.5916250004</v>
      </c>
      <c r="AB50" s="91">
        <f>+AA50*1.07</f>
        <v>2699561.4130387506</v>
      </c>
      <c r="AC50" s="91">
        <f t="shared" ref="AC50:AF50" si="28">+AB50*1.07</f>
        <v>2888530.7119514635</v>
      </c>
      <c r="AD50" s="91">
        <f t="shared" si="28"/>
        <v>3090727.8617880661</v>
      </c>
      <c r="AE50" s="91">
        <f t="shared" si="28"/>
        <v>3307078.812113231</v>
      </c>
      <c r="AF50" s="91">
        <f t="shared" si="28"/>
        <v>3538574.3289611572</v>
      </c>
      <c r="AG50" s="204">
        <f>+AF50*1.07</f>
        <v>3786274.5319884387</v>
      </c>
    </row>
    <row r="51" spans="1:33" s="103" customFormat="1" ht="90" customHeight="1">
      <c r="A51" s="102">
        <f t="shared" si="17"/>
        <v>30</v>
      </c>
      <c r="B51" s="52"/>
      <c r="C51" s="51" t="s">
        <v>174</v>
      </c>
      <c r="D51" s="35" t="s">
        <v>175</v>
      </c>
      <c r="E51" s="35" t="s">
        <v>127</v>
      </c>
      <c r="F51" s="36" t="s">
        <v>67</v>
      </c>
      <c r="G51" s="35" t="s">
        <v>48</v>
      </c>
      <c r="H51" s="51" t="s">
        <v>97</v>
      </c>
      <c r="I51" s="34" t="s">
        <v>127</v>
      </c>
      <c r="J51" s="52" t="s">
        <v>169</v>
      </c>
      <c r="K51" s="52" t="s">
        <v>60</v>
      </c>
      <c r="L51" s="51" t="s">
        <v>172</v>
      </c>
      <c r="M51" s="51" t="s">
        <v>176</v>
      </c>
      <c r="N51" s="36" t="s">
        <v>50</v>
      </c>
      <c r="O51" s="51"/>
      <c r="P51" s="51" t="s">
        <v>176</v>
      </c>
      <c r="Q51" s="37">
        <v>41456</v>
      </c>
      <c r="R51" s="37">
        <v>41729</v>
      </c>
      <c r="S51" s="35" t="s">
        <v>52</v>
      </c>
      <c r="T51" s="38">
        <v>16000000</v>
      </c>
      <c r="U51" s="39"/>
      <c r="V51" s="131">
        <v>2000000</v>
      </c>
      <c r="W51" s="38">
        <v>2000000</v>
      </c>
      <c r="X51" s="38">
        <v>2200000</v>
      </c>
      <c r="Y51" s="132">
        <v>2420000</v>
      </c>
      <c r="Z51" s="38">
        <v>2662000</v>
      </c>
      <c r="AA51" s="91">
        <f>+Z51*1.1</f>
        <v>2928200.0000000005</v>
      </c>
      <c r="AB51" s="91">
        <f>+AA51*1.1</f>
        <v>3221020.0000000009</v>
      </c>
      <c r="AC51" s="91">
        <f t="shared" ref="AC51:AF51" si="29">+AB51*1.1</f>
        <v>3543122.0000000014</v>
      </c>
      <c r="AD51" s="91">
        <f t="shared" si="29"/>
        <v>3897434.200000002</v>
      </c>
      <c r="AE51" s="91">
        <f t="shared" si="29"/>
        <v>4287177.6200000029</v>
      </c>
      <c r="AF51" s="91">
        <f t="shared" si="29"/>
        <v>4715895.3820000039</v>
      </c>
      <c r="AG51" s="204">
        <f>+AF51*1.1</f>
        <v>5187484.9202000052</v>
      </c>
    </row>
    <row r="52" spans="1:33" s="103" customFormat="1" ht="90" customHeight="1">
      <c r="A52" s="102">
        <f t="shared" si="17"/>
        <v>31</v>
      </c>
      <c r="B52" s="52"/>
      <c r="C52" s="51" t="s">
        <v>177</v>
      </c>
      <c r="D52" s="35" t="s">
        <v>46</v>
      </c>
      <c r="E52" s="35" t="s">
        <v>46</v>
      </c>
      <c r="F52" s="36" t="s">
        <v>47</v>
      </c>
      <c r="G52" s="35" t="s">
        <v>48</v>
      </c>
      <c r="H52" s="51" t="s">
        <v>46</v>
      </c>
      <c r="I52" s="34" t="s">
        <v>46</v>
      </c>
      <c r="J52" s="52" t="s">
        <v>46</v>
      </c>
      <c r="K52" s="52"/>
      <c r="L52" s="51" t="s">
        <v>172</v>
      </c>
      <c r="M52" s="51" t="s">
        <v>4</v>
      </c>
      <c r="N52" s="36" t="s">
        <v>50</v>
      </c>
      <c r="O52" s="51"/>
      <c r="P52" s="51" t="s">
        <v>173</v>
      </c>
      <c r="Q52" s="37">
        <v>41396</v>
      </c>
      <c r="R52" s="37">
        <v>42490</v>
      </c>
      <c r="S52" s="35" t="s">
        <v>52</v>
      </c>
      <c r="T52" s="38">
        <v>28000000</v>
      </c>
      <c r="U52" s="39"/>
      <c r="V52" s="131">
        <v>7777778</v>
      </c>
      <c r="W52" s="38">
        <v>10764443</v>
      </c>
      <c r="X52" s="38">
        <v>9333333.3300000001</v>
      </c>
      <c r="Y52" s="132">
        <v>672777</v>
      </c>
      <c r="Z52" s="38">
        <v>0</v>
      </c>
      <c r="AA52" s="91">
        <v>0</v>
      </c>
      <c r="AB52" s="91">
        <v>0</v>
      </c>
      <c r="AC52" s="91">
        <v>0</v>
      </c>
      <c r="AD52" s="91">
        <v>0</v>
      </c>
      <c r="AE52" s="91">
        <v>0</v>
      </c>
      <c r="AF52" s="91">
        <v>0</v>
      </c>
      <c r="AG52" s="204">
        <v>0</v>
      </c>
    </row>
    <row r="53" spans="1:33" s="103" customFormat="1" ht="90" customHeight="1">
      <c r="A53" s="102">
        <f t="shared" si="17"/>
        <v>32</v>
      </c>
      <c r="B53" s="52"/>
      <c r="C53" s="51" t="s">
        <v>178</v>
      </c>
      <c r="D53" s="35" t="s">
        <v>46</v>
      </c>
      <c r="E53" s="35" t="s">
        <v>46</v>
      </c>
      <c r="F53" s="36" t="s">
        <v>67</v>
      </c>
      <c r="G53" s="35" t="s">
        <v>179</v>
      </c>
      <c r="H53" s="51" t="s">
        <v>46</v>
      </c>
      <c r="I53" s="34" t="s">
        <v>46</v>
      </c>
      <c r="J53" s="52" t="s">
        <v>46</v>
      </c>
      <c r="K53" s="52"/>
      <c r="L53" s="51" t="s">
        <v>180</v>
      </c>
      <c r="M53" s="51" t="s">
        <v>4</v>
      </c>
      <c r="N53" s="36" t="s">
        <v>181</v>
      </c>
      <c r="O53" s="51"/>
      <c r="P53" s="51" t="s">
        <v>173</v>
      </c>
      <c r="Q53" s="37">
        <v>41730</v>
      </c>
      <c r="R53" s="37">
        <v>42094</v>
      </c>
      <c r="S53" s="35" t="s">
        <v>52</v>
      </c>
      <c r="T53" s="38">
        <v>0</v>
      </c>
      <c r="U53" s="39"/>
      <c r="V53" s="131">
        <v>7777778</v>
      </c>
      <c r="W53" s="38">
        <v>9487000</v>
      </c>
      <c r="X53" s="38">
        <v>17200000</v>
      </c>
      <c r="Y53" s="132">
        <f>+X53*1.08</f>
        <v>18576000</v>
      </c>
      <c r="Z53" s="38">
        <v>0</v>
      </c>
      <c r="AA53" s="91">
        <v>0</v>
      </c>
      <c r="AB53" s="91">
        <v>0</v>
      </c>
      <c r="AC53" s="91">
        <v>0</v>
      </c>
      <c r="AD53" s="91">
        <v>0</v>
      </c>
      <c r="AE53" s="91">
        <v>0</v>
      </c>
      <c r="AF53" s="91">
        <v>0</v>
      </c>
      <c r="AG53" s="204">
        <v>0</v>
      </c>
    </row>
    <row r="54" spans="1:33" s="103" customFormat="1" ht="90" customHeight="1">
      <c r="A54" s="102">
        <f t="shared" si="17"/>
        <v>33</v>
      </c>
      <c r="B54" s="52"/>
      <c r="C54" s="51" t="s">
        <v>182</v>
      </c>
      <c r="D54" s="35" t="s">
        <v>46</v>
      </c>
      <c r="E54" s="35" t="s">
        <v>46</v>
      </c>
      <c r="F54" s="36" t="s">
        <v>67</v>
      </c>
      <c r="G54" s="35" t="s">
        <v>179</v>
      </c>
      <c r="H54" s="51" t="s">
        <v>46</v>
      </c>
      <c r="I54" s="34" t="s">
        <v>46</v>
      </c>
      <c r="J54" s="52" t="s">
        <v>46</v>
      </c>
      <c r="K54" s="52"/>
      <c r="L54" s="51" t="s">
        <v>180</v>
      </c>
      <c r="M54" s="51" t="s">
        <v>4</v>
      </c>
      <c r="N54" s="36" t="s">
        <v>181</v>
      </c>
      <c r="O54" s="51"/>
      <c r="P54" s="51" t="s">
        <v>183</v>
      </c>
      <c r="Q54" s="37">
        <v>41730</v>
      </c>
      <c r="R54" s="37">
        <v>42094</v>
      </c>
      <c r="S54" s="35" t="s">
        <v>52</v>
      </c>
      <c r="T54" s="38">
        <v>0</v>
      </c>
      <c r="U54" s="39"/>
      <c r="V54" s="131">
        <v>7777778</v>
      </c>
      <c r="W54" s="38">
        <v>17807000</v>
      </c>
      <c r="X54" s="38">
        <v>19000000</v>
      </c>
      <c r="Y54" s="132">
        <v>21000000</v>
      </c>
      <c r="Z54" s="38">
        <f>+Y54*1.1</f>
        <v>23100000.000000004</v>
      </c>
      <c r="AA54" s="91">
        <f>+Z54*1.1</f>
        <v>25410000.000000007</v>
      </c>
      <c r="AB54" s="91">
        <f>+AA54*1.1</f>
        <v>27951000.000000011</v>
      </c>
      <c r="AC54" s="91">
        <f t="shared" ref="AC54:AF54" si="30">+AB54*1.1</f>
        <v>30746100.000000015</v>
      </c>
      <c r="AD54" s="91">
        <f t="shared" si="30"/>
        <v>33820710.000000022</v>
      </c>
      <c r="AE54" s="91">
        <f t="shared" si="30"/>
        <v>37202781.00000003</v>
      </c>
      <c r="AF54" s="91">
        <f t="shared" si="30"/>
        <v>40923059.100000039</v>
      </c>
      <c r="AG54" s="204">
        <f>+AF54*1.1</f>
        <v>45015365.010000043</v>
      </c>
    </row>
    <row r="55" spans="1:33" s="103" customFormat="1" ht="90" customHeight="1">
      <c r="A55" s="102">
        <f t="shared" si="17"/>
        <v>34</v>
      </c>
      <c r="B55" s="52" t="s">
        <v>184</v>
      </c>
      <c r="C55" s="51" t="s">
        <v>185</v>
      </c>
      <c r="D55" s="35" t="s">
        <v>186</v>
      </c>
      <c r="E55" s="35">
        <v>800005116</v>
      </c>
      <c r="F55" s="36" t="s">
        <v>187</v>
      </c>
      <c r="G55" s="35" t="s">
        <v>48</v>
      </c>
      <c r="H55" s="51" t="s">
        <v>57</v>
      </c>
      <c r="I55" s="34" t="s">
        <v>122</v>
      </c>
      <c r="J55" s="52" t="s">
        <v>188</v>
      </c>
      <c r="K55" s="52" t="s">
        <v>60</v>
      </c>
      <c r="L55" s="51" t="s">
        <v>61</v>
      </c>
      <c r="M55" s="51" t="s">
        <v>7</v>
      </c>
      <c r="N55" s="36" t="s">
        <v>181</v>
      </c>
      <c r="O55" s="51" t="s">
        <v>189</v>
      </c>
      <c r="P55" s="51" t="s">
        <v>190</v>
      </c>
      <c r="Q55" s="37">
        <v>41791</v>
      </c>
      <c r="R55" s="37">
        <v>42035</v>
      </c>
      <c r="S55" s="35" t="s">
        <v>52</v>
      </c>
      <c r="T55" s="38">
        <v>11270460</v>
      </c>
      <c r="U55" s="39"/>
      <c r="V55" s="131">
        <v>3000000</v>
      </c>
      <c r="W55" s="38">
        <v>3500000</v>
      </c>
      <c r="X55" s="38">
        <f>+T55-W55</f>
        <v>7770460</v>
      </c>
      <c r="Y55" s="38">
        <v>0</v>
      </c>
      <c r="Z55" s="38">
        <f>+T55*0.01/1.23</f>
        <v>91629.756097560981</v>
      </c>
      <c r="AA55" s="91">
        <v>0</v>
      </c>
      <c r="AB55" s="91">
        <f>+Z55*1.15</f>
        <v>105374.21951219512</v>
      </c>
      <c r="AC55" s="91">
        <v>0</v>
      </c>
      <c r="AD55" s="91">
        <f>+AB55*1.15</f>
        <v>121180.35243902438</v>
      </c>
      <c r="AE55" s="91">
        <v>0</v>
      </c>
      <c r="AF55" s="91">
        <f>+AD55*1.15</f>
        <v>139357.40530487802</v>
      </c>
      <c r="AG55" s="204">
        <v>0</v>
      </c>
    </row>
    <row r="56" spans="1:33" s="103" customFormat="1" ht="90" customHeight="1">
      <c r="A56" s="102">
        <f t="shared" si="17"/>
        <v>35</v>
      </c>
      <c r="B56" s="52" t="s">
        <v>191</v>
      </c>
      <c r="C56" s="51" t="s">
        <v>192</v>
      </c>
      <c r="D56" s="35" t="s">
        <v>73</v>
      </c>
      <c r="E56" s="35">
        <v>800035522</v>
      </c>
      <c r="F56" s="36" t="s">
        <v>47</v>
      </c>
      <c r="G56" s="35" t="s">
        <v>48</v>
      </c>
      <c r="H56" s="51" t="s">
        <v>193</v>
      </c>
      <c r="I56" s="34" t="s">
        <v>194</v>
      </c>
      <c r="J56" s="52" t="s">
        <v>75</v>
      </c>
      <c r="K56" s="52" t="s">
        <v>60</v>
      </c>
      <c r="L56" s="51" t="s">
        <v>49</v>
      </c>
      <c r="M56" s="51" t="s">
        <v>4</v>
      </c>
      <c r="N56" s="36" t="s">
        <v>50</v>
      </c>
      <c r="O56" s="51" t="s">
        <v>195</v>
      </c>
      <c r="P56" s="51" t="s">
        <v>196</v>
      </c>
      <c r="Q56" s="37">
        <v>41061</v>
      </c>
      <c r="R56" s="37">
        <v>41759</v>
      </c>
      <c r="S56" s="35" t="s">
        <v>52</v>
      </c>
      <c r="T56" s="38">
        <f>36201355*1.15</f>
        <v>41631558.25</v>
      </c>
      <c r="U56" s="39"/>
      <c r="V56" s="131"/>
      <c r="W56" s="38">
        <f>+T56-(18410381.7+3817343.24)-(5058069.66)-3491930.34-1008061.65</f>
        <v>9845771.660000002</v>
      </c>
      <c r="X56" s="38">
        <v>0</v>
      </c>
      <c r="Y56" s="132">
        <f>+T56*0.01/1.23</f>
        <v>338467.95325203252</v>
      </c>
      <c r="Z56" s="38">
        <v>0</v>
      </c>
      <c r="AA56" s="91">
        <f>+Y56*1.15</f>
        <v>389238.14623983734</v>
      </c>
      <c r="AB56" s="91"/>
      <c r="AC56" s="91">
        <f>+AA56*1.15</f>
        <v>447623.86817581288</v>
      </c>
      <c r="AD56" s="91"/>
      <c r="AE56" s="91">
        <f>+AC56*1.15</f>
        <v>514767.44840218476</v>
      </c>
      <c r="AF56" s="91"/>
      <c r="AG56" s="204">
        <f>+AE56*1.15</f>
        <v>591982.56566251244</v>
      </c>
    </row>
    <row r="57" spans="1:33" s="103" customFormat="1" ht="90" customHeight="1">
      <c r="A57" s="102">
        <f t="shared" si="17"/>
        <v>36</v>
      </c>
      <c r="B57" s="52" t="s">
        <v>197</v>
      </c>
      <c r="C57" s="51" t="s">
        <v>198</v>
      </c>
      <c r="D57" s="35" t="s">
        <v>73</v>
      </c>
      <c r="E57" s="35">
        <v>800035106</v>
      </c>
      <c r="F57" s="36" t="s">
        <v>67</v>
      </c>
      <c r="G57" s="35" t="s">
        <v>48</v>
      </c>
      <c r="H57" s="51" t="s">
        <v>74</v>
      </c>
      <c r="I57" s="34" t="s">
        <v>199</v>
      </c>
      <c r="J57" s="52" t="s">
        <v>75</v>
      </c>
      <c r="K57" s="52" t="s">
        <v>60</v>
      </c>
      <c r="L57" s="51" t="s">
        <v>49</v>
      </c>
      <c r="M57" s="51" t="s">
        <v>100</v>
      </c>
      <c r="N57" s="36" t="s">
        <v>50</v>
      </c>
      <c r="O57" s="51" t="s">
        <v>200</v>
      </c>
      <c r="P57" s="51" t="s">
        <v>201</v>
      </c>
      <c r="Q57" s="37">
        <v>41487</v>
      </c>
      <c r="R57" s="37">
        <v>41973</v>
      </c>
      <c r="S57" s="35" t="s">
        <v>52</v>
      </c>
      <c r="T57" s="38">
        <v>42890000</v>
      </c>
      <c r="U57" s="39"/>
      <c r="V57" s="131">
        <f>1885000+3000000</f>
        <v>4885000</v>
      </c>
      <c r="W57" s="38">
        <v>12800812</v>
      </c>
      <c r="X57" s="38">
        <f>+T57-W57</f>
        <v>30089188</v>
      </c>
      <c r="Y57" s="38">
        <v>0</v>
      </c>
      <c r="Z57" s="38">
        <f>+T57*0.01/1.23</f>
        <v>348699.18699186994</v>
      </c>
      <c r="AA57" s="91">
        <v>0</v>
      </c>
      <c r="AB57" s="91">
        <f>+Z57*1.15</f>
        <v>401004.06504065037</v>
      </c>
      <c r="AC57" s="91">
        <v>0</v>
      </c>
      <c r="AD57" s="91">
        <f>+AB57*1.15</f>
        <v>461154.67479674792</v>
      </c>
      <c r="AE57" s="91">
        <v>0</v>
      </c>
      <c r="AF57" s="91">
        <f>+AD57*1.15</f>
        <v>530327.87601626001</v>
      </c>
      <c r="AG57" s="204">
        <v>0</v>
      </c>
    </row>
    <row r="58" spans="1:33" s="103" customFormat="1" ht="90" customHeight="1">
      <c r="A58" s="102">
        <f t="shared" si="17"/>
        <v>37</v>
      </c>
      <c r="B58" s="52" t="s">
        <v>202</v>
      </c>
      <c r="C58" s="51" t="s">
        <v>203</v>
      </c>
      <c r="D58" s="35" t="s">
        <v>65</v>
      </c>
      <c r="E58" s="35">
        <v>800035170</v>
      </c>
      <c r="F58" s="36" t="s">
        <v>67</v>
      </c>
      <c r="G58" s="35" t="s">
        <v>48</v>
      </c>
      <c r="H58" s="51" t="s">
        <v>74</v>
      </c>
      <c r="I58" s="34" t="s">
        <v>204</v>
      </c>
      <c r="J58" s="52" t="s">
        <v>75</v>
      </c>
      <c r="K58" s="52" t="s">
        <v>60</v>
      </c>
      <c r="L58" s="51" t="s">
        <v>49</v>
      </c>
      <c r="M58" s="51" t="s">
        <v>100</v>
      </c>
      <c r="N58" s="36" t="s">
        <v>50</v>
      </c>
      <c r="O58" s="51" t="s">
        <v>205</v>
      </c>
      <c r="P58" s="51" t="s">
        <v>206</v>
      </c>
      <c r="Q58" s="37">
        <v>41500</v>
      </c>
      <c r="R58" s="37">
        <v>41882</v>
      </c>
      <c r="S58" s="35" t="s">
        <v>52</v>
      </c>
      <c r="T58" s="38">
        <v>26610948</v>
      </c>
      <c r="U58" s="39"/>
      <c r="V58" s="131">
        <v>3000000</v>
      </c>
      <c r="W58" s="38">
        <v>23732000</v>
      </c>
      <c r="X58" s="38">
        <v>0</v>
      </c>
      <c r="Y58" s="132">
        <f>+T58*0.01/1.23</f>
        <v>216349.1707317073</v>
      </c>
      <c r="Z58" s="38">
        <v>0</v>
      </c>
      <c r="AA58" s="91">
        <f>+Y58*1.15</f>
        <v>248801.54634146337</v>
      </c>
      <c r="AB58" s="91"/>
      <c r="AC58" s="91">
        <f>+AA58*1.15</f>
        <v>286121.77829268284</v>
      </c>
      <c r="AD58" s="91"/>
      <c r="AE58" s="91">
        <f>+AC58*1.15</f>
        <v>329040.04503658524</v>
      </c>
      <c r="AF58" s="91"/>
      <c r="AG58" s="204">
        <f>+AE58*1.15</f>
        <v>378396.05179207301</v>
      </c>
    </row>
    <row r="59" spans="1:33" s="103" customFormat="1" ht="90" customHeight="1">
      <c r="A59" s="102">
        <f t="shared" si="17"/>
        <v>38</v>
      </c>
      <c r="B59" s="52" t="s">
        <v>207</v>
      </c>
      <c r="C59" s="51" t="s">
        <v>208</v>
      </c>
      <c r="D59" s="35" t="s">
        <v>65</v>
      </c>
      <c r="E59" s="35">
        <v>800034853</v>
      </c>
      <c r="F59" s="36" t="s">
        <v>67</v>
      </c>
      <c r="G59" s="35" t="s">
        <v>48</v>
      </c>
      <c r="H59" s="51" t="s">
        <v>74</v>
      </c>
      <c r="I59" s="34" t="s">
        <v>209</v>
      </c>
      <c r="J59" s="52" t="s">
        <v>75</v>
      </c>
      <c r="K59" s="52" t="s">
        <v>60</v>
      </c>
      <c r="L59" s="51" t="s">
        <v>49</v>
      </c>
      <c r="M59" s="51" t="s">
        <v>100</v>
      </c>
      <c r="N59" s="36" t="s">
        <v>50</v>
      </c>
      <c r="O59" s="51" t="s">
        <v>210</v>
      </c>
      <c r="P59" s="51" t="s">
        <v>211</v>
      </c>
      <c r="Q59" s="37">
        <v>41487</v>
      </c>
      <c r="R59" s="37">
        <v>41973</v>
      </c>
      <c r="S59" s="35" t="s">
        <v>52</v>
      </c>
      <c r="T59" s="38">
        <f>23181645*1.2</f>
        <v>27817974</v>
      </c>
      <c r="U59" s="39"/>
      <c r="V59" s="131">
        <f>316000+3000000</f>
        <v>3316000</v>
      </c>
      <c r="W59" s="38">
        <v>24732000</v>
      </c>
      <c r="X59" s="38">
        <f>+T59-W59</f>
        <v>3085974</v>
      </c>
      <c r="Y59" s="38">
        <v>0</v>
      </c>
      <c r="Z59" s="38">
        <f>+T59*0.01/1.23</f>
        <v>226162.39024390242</v>
      </c>
      <c r="AA59" s="91">
        <v>0</v>
      </c>
      <c r="AB59" s="91">
        <f>+Z59*1.15</f>
        <v>260086.74878048777</v>
      </c>
      <c r="AC59" s="91">
        <v>0</v>
      </c>
      <c r="AD59" s="91">
        <f>+AB59*1.15</f>
        <v>299099.76109756093</v>
      </c>
      <c r="AE59" s="91">
        <v>0</v>
      </c>
      <c r="AF59" s="91">
        <f>+AD59*1.15</f>
        <v>343964.72526219505</v>
      </c>
      <c r="AG59" s="204">
        <v>0</v>
      </c>
    </row>
    <row r="60" spans="1:33" s="103" customFormat="1" ht="90" customHeight="1">
      <c r="A60" s="102">
        <f t="shared" si="17"/>
        <v>39</v>
      </c>
      <c r="B60" s="52" t="s">
        <v>212</v>
      </c>
      <c r="C60" s="51" t="s">
        <v>213</v>
      </c>
      <c r="D60" s="35" t="s">
        <v>73</v>
      </c>
      <c r="E60" s="35">
        <v>800020016</v>
      </c>
      <c r="F60" s="36" t="s">
        <v>67</v>
      </c>
      <c r="G60" s="35" t="s">
        <v>48</v>
      </c>
      <c r="H60" s="51" t="s">
        <v>97</v>
      </c>
      <c r="I60" s="34" t="s">
        <v>214</v>
      </c>
      <c r="J60" s="52" t="s">
        <v>169</v>
      </c>
      <c r="K60" s="52" t="s">
        <v>60</v>
      </c>
      <c r="L60" s="51" t="s">
        <v>49</v>
      </c>
      <c r="M60" s="51" t="s">
        <v>100</v>
      </c>
      <c r="N60" s="36" t="s">
        <v>50</v>
      </c>
      <c r="O60" s="51" t="s">
        <v>215</v>
      </c>
      <c r="P60" s="51" t="s">
        <v>216</v>
      </c>
      <c r="Q60" s="37">
        <v>41326</v>
      </c>
      <c r="R60" s="37">
        <v>41750</v>
      </c>
      <c r="S60" s="35" t="s">
        <v>52</v>
      </c>
      <c r="T60" s="38">
        <f>23184852.14*1.2</f>
        <v>27821822.568</v>
      </c>
      <c r="U60" s="39"/>
      <c r="V60" s="131">
        <f>3912000+9000000</f>
        <v>12912000</v>
      </c>
      <c r="W60" s="38">
        <v>11603000</v>
      </c>
      <c r="X60" s="38">
        <v>0</v>
      </c>
      <c r="Y60" s="132">
        <f>+T60*0.01/1.23</f>
        <v>226193.67941463419</v>
      </c>
      <c r="Z60" s="38">
        <v>0</v>
      </c>
      <c r="AA60" s="91">
        <f>+Y60*1.15</f>
        <v>260122.73132682929</v>
      </c>
      <c r="AB60" s="91">
        <v>0</v>
      </c>
      <c r="AC60" s="91">
        <f>+AA60*1.15</f>
        <v>299141.14102585369</v>
      </c>
      <c r="AD60" s="91">
        <v>0</v>
      </c>
      <c r="AE60" s="91">
        <f>+AC60*1.15</f>
        <v>344012.31217973173</v>
      </c>
      <c r="AF60" s="91">
        <v>0</v>
      </c>
      <c r="AG60" s="204">
        <f>+AE60*1.15</f>
        <v>395614.15900669148</v>
      </c>
    </row>
    <row r="61" spans="1:33" s="103" customFormat="1" ht="90" customHeight="1">
      <c r="A61" s="102">
        <f t="shared" si="17"/>
        <v>40</v>
      </c>
      <c r="B61" s="52" t="s">
        <v>217</v>
      </c>
      <c r="C61" s="51" t="s">
        <v>218</v>
      </c>
      <c r="D61" s="35" t="s">
        <v>96</v>
      </c>
      <c r="E61" s="35">
        <v>800029173</v>
      </c>
      <c r="F61" s="36" t="s">
        <v>187</v>
      </c>
      <c r="G61" s="35" t="s">
        <v>48</v>
      </c>
      <c r="H61" s="51" t="s">
        <v>68</v>
      </c>
      <c r="I61" s="34" t="s">
        <v>219</v>
      </c>
      <c r="J61" s="52" t="s">
        <v>84</v>
      </c>
      <c r="K61" s="52"/>
      <c r="L61" s="51" t="s">
        <v>61</v>
      </c>
      <c r="M61" s="51" t="s">
        <v>7</v>
      </c>
      <c r="N61" s="36" t="s">
        <v>181</v>
      </c>
      <c r="O61" s="51"/>
      <c r="P61" s="51" t="s">
        <v>220</v>
      </c>
      <c r="Q61" s="37">
        <v>41791</v>
      </c>
      <c r="R61" s="37">
        <v>42035</v>
      </c>
      <c r="S61" s="35" t="s">
        <v>52</v>
      </c>
      <c r="T61" s="38">
        <v>11700000</v>
      </c>
      <c r="U61" s="39"/>
      <c r="V61" s="131">
        <v>1200000</v>
      </c>
      <c r="W61" s="38">
        <v>8100000</v>
      </c>
      <c r="X61" s="38">
        <v>3600000</v>
      </c>
      <c r="Y61" s="38">
        <v>0</v>
      </c>
      <c r="Z61" s="38">
        <f>+T61*0.01/1.23</f>
        <v>95121.951219512193</v>
      </c>
      <c r="AA61" s="91">
        <v>0</v>
      </c>
      <c r="AB61" s="91">
        <f>+Z61*1.15</f>
        <v>109390.24390243902</v>
      </c>
      <c r="AC61" s="91">
        <v>0</v>
      </c>
      <c r="AD61" s="91">
        <f>+AB61*1.15</f>
        <v>125798.78048780486</v>
      </c>
      <c r="AE61" s="91">
        <v>0</v>
      </c>
      <c r="AF61" s="91">
        <f>+AD61*1.15</f>
        <v>144668.59756097558</v>
      </c>
      <c r="AG61" s="204">
        <v>0</v>
      </c>
    </row>
    <row r="62" spans="1:33" s="103" customFormat="1" ht="90" customHeight="1">
      <c r="A62" s="102">
        <f t="shared" si="17"/>
        <v>41</v>
      </c>
      <c r="B62" s="52"/>
      <c r="C62" s="51" t="s">
        <v>1225</v>
      </c>
      <c r="D62" s="35" t="s">
        <v>46</v>
      </c>
      <c r="E62" s="35" t="s">
        <v>46</v>
      </c>
      <c r="F62" s="36" t="s">
        <v>67</v>
      </c>
      <c r="G62" s="35" t="s">
        <v>48</v>
      </c>
      <c r="H62" s="51" t="s">
        <v>46</v>
      </c>
      <c r="I62" s="34" t="s">
        <v>46</v>
      </c>
      <c r="J62" s="52" t="s">
        <v>46</v>
      </c>
      <c r="K62" s="52"/>
      <c r="L62" s="51" t="s">
        <v>172</v>
      </c>
      <c r="M62" s="51" t="s">
        <v>176</v>
      </c>
      <c r="N62" s="36" t="s">
        <v>50</v>
      </c>
      <c r="O62" s="51"/>
      <c r="P62" s="51" t="s">
        <v>176</v>
      </c>
      <c r="Q62" s="37">
        <v>41365</v>
      </c>
      <c r="R62" s="37">
        <v>42460</v>
      </c>
      <c r="S62" s="35" t="s">
        <v>52</v>
      </c>
      <c r="T62" s="38">
        <v>335397875</v>
      </c>
      <c r="U62" s="39">
        <v>27175715</v>
      </c>
      <c r="V62" s="131">
        <v>84000000</v>
      </c>
      <c r="W62" s="38">
        <f>27175715</f>
        <v>27175715</v>
      </c>
      <c r="X62" s="38">
        <f>84000000+W62-2967360</f>
        <v>108208355</v>
      </c>
      <c r="Y62" s="132">
        <v>84000000</v>
      </c>
      <c r="Z62" s="38">
        <v>89000000</v>
      </c>
      <c r="AA62" s="91">
        <f>+Z62*1.07</f>
        <v>95230000</v>
      </c>
      <c r="AB62" s="91">
        <f>+AA62*1.07</f>
        <v>101896100</v>
      </c>
      <c r="AC62" s="91">
        <f t="shared" ref="AC62:AF62" si="31">+AB62*1.07</f>
        <v>109028827</v>
      </c>
      <c r="AD62" s="91">
        <f t="shared" si="31"/>
        <v>116660844.89</v>
      </c>
      <c r="AE62" s="91">
        <f t="shared" si="31"/>
        <v>124827104.03230001</v>
      </c>
      <c r="AF62" s="91">
        <f t="shared" si="31"/>
        <v>133565001.31456102</v>
      </c>
      <c r="AG62" s="204">
        <f>+AF62*1.07</f>
        <v>142914551.4065803</v>
      </c>
    </row>
    <row r="63" spans="1:33" s="103" customFormat="1" ht="90" customHeight="1">
      <c r="A63" s="102">
        <f t="shared" si="17"/>
        <v>42</v>
      </c>
      <c r="B63" s="52" t="s">
        <v>221</v>
      </c>
      <c r="C63" s="51" t="s">
        <v>715</v>
      </c>
      <c r="D63" s="35" t="s">
        <v>96</v>
      </c>
      <c r="E63" s="35">
        <v>800001909</v>
      </c>
      <c r="F63" s="36" t="s">
        <v>67</v>
      </c>
      <c r="G63" s="35" t="s">
        <v>48</v>
      </c>
      <c r="H63" s="51" t="s">
        <v>57</v>
      </c>
      <c r="I63" s="34" t="s">
        <v>141</v>
      </c>
      <c r="J63" s="52" t="s">
        <v>59</v>
      </c>
      <c r="K63" s="52" t="s">
        <v>60</v>
      </c>
      <c r="L63" s="51" t="s">
        <v>61</v>
      </c>
      <c r="M63" s="51" t="s">
        <v>222</v>
      </c>
      <c r="N63" s="36" t="s">
        <v>223</v>
      </c>
      <c r="O63" s="51"/>
      <c r="P63" s="51" t="s">
        <v>224</v>
      </c>
      <c r="Q63" s="37">
        <v>41699</v>
      </c>
      <c r="R63" s="37">
        <v>41912</v>
      </c>
      <c r="S63" s="35" t="s">
        <v>52</v>
      </c>
      <c r="T63" s="38">
        <v>2082108</v>
      </c>
      <c r="U63" s="39"/>
      <c r="V63" s="131">
        <f>+T63-W63</f>
        <v>2082108</v>
      </c>
      <c r="W63" s="38">
        <v>0</v>
      </c>
      <c r="X63" s="38">
        <f>+T63</f>
        <v>2082108</v>
      </c>
      <c r="Y63" s="38">
        <v>0</v>
      </c>
      <c r="Z63" s="38">
        <v>0</v>
      </c>
      <c r="AA63" s="91">
        <v>0</v>
      </c>
      <c r="AB63" s="91">
        <v>0</v>
      </c>
      <c r="AC63" s="91">
        <v>0</v>
      </c>
      <c r="AD63" s="91">
        <v>0</v>
      </c>
      <c r="AE63" s="91">
        <v>0</v>
      </c>
      <c r="AF63" s="91">
        <v>0</v>
      </c>
      <c r="AG63" s="204">
        <v>0</v>
      </c>
    </row>
    <row r="64" spans="1:33" s="103" customFormat="1" ht="90" customHeight="1">
      <c r="A64" s="102">
        <f t="shared" si="17"/>
        <v>43</v>
      </c>
      <c r="B64" s="52" t="s">
        <v>225</v>
      </c>
      <c r="C64" s="51" t="s">
        <v>226</v>
      </c>
      <c r="D64" s="35" t="s">
        <v>73</v>
      </c>
      <c r="E64" s="35">
        <v>800035037</v>
      </c>
      <c r="F64" s="36" t="s">
        <v>227</v>
      </c>
      <c r="G64" s="35" t="s">
        <v>48</v>
      </c>
      <c r="H64" s="51" t="s">
        <v>74</v>
      </c>
      <c r="I64" s="34" t="s">
        <v>228</v>
      </c>
      <c r="J64" s="52" t="s">
        <v>75</v>
      </c>
      <c r="K64" s="52" t="s">
        <v>60</v>
      </c>
      <c r="L64" s="51" t="s">
        <v>61</v>
      </c>
      <c r="M64" s="51" t="s">
        <v>6</v>
      </c>
      <c r="N64" s="36" t="s">
        <v>181</v>
      </c>
      <c r="O64" s="51"/>
      <c r="P64" s="51" t="s">
        <v>229</v>
      </c>
      <c r="Q64" s="37">
        <v>41791</v>
      </c>
      <c r="R64" s="37">
        <v>42035</v>
      </c>
      <c r="S64" s="35" t="s">
        <v>52</v>
      </c>
      <c r="T64" s="38">
        <v>2120000</v>
      </c>
      <c r="U64" s="39"/>
      <c r="V64" s="131">
        <v>1900000</v>
      </c>
      <c r="W64" s="38">
        <v>1832203</v>
      </c>
      <c r="X64" s="38">
        <v>0</v>
      </c>
      <c r="Y64" s="38">
        <v>0</v>
      </c>
      <c r="Z64" s="38">
        <v>0</v>
      </c>
      <c r="AA64" s="91">
        <v>0</v>
      </c>
      <c r="AB64" s="91">
        <v>0</v>
      </c>
      <c r="AC64" s="91">
        <v>0</v>
      </c>
      <c r="AD64" s="91"/>
      <c r="AE64" s="91">
        <v>0</v>
      </c>
      <c r="AF64" s="91">
        <v>0</v>
      </c>
      <c r="AG64" s="204">
        <v>0</v>
      </c>
    </row>
    <row r="65" spans="1:71" s="103" customFormat="1" ht="90" customHeight="1">
      <c r="A65" s="102">
        <f t="shared" si="17"/>
        <v>44</v>
      </c>
      <c r="B65" s="52" t="s">
        <v>230</v>
      </c>
      <c r="C65" s="51" t="s">
        <v>231</v>
      </c>
      <c r="D65" s="35" t="s">
        <v>65</v>
      </c>
      <c r="E65" s="35">
        <v>800002345</v>
      </c>
      <c r="F65" s="36" t="s">
        <v>67</v>
      </c>
      <c r="G65" s="35" t="s">
        <v>48</v>
      </c>
      <c r="H65" s="51" t="s">
        <v>57</v>
      </c>
      <c r="I65" s="34" t="s">
        <v>58</v>
      </c>
      <c r="J65" s="51" t="s">
        <v>782</v>
      </c>
      <c r="K65" s="52" t="s">
        <v>60</v>
      </c>
      <c r="L65" s="51" t="s">
        <v>61</v>
      </c>
      <c r="M65" s="51" t="s">
        <v>222</v>
      </c>
      <c r="N65" s="36" t="s">
        <v>223</v>
      </c>
      <c r="O65" s="51"/>
      <c r="P65" s="51" t="s">
        <v>224</v>
      </c>
      <c r="Q65" s="37">
        <v>41699</v>
      </c>
      <c r="R65" s="37">
        <v>41912</v>
      </c>
      <c r="S65" s="35" t="s">
        <v>52</v>
      </c>
      <c r="T65" s="38">
        <v>2683417</v>
      </c>
      <c r="U65" s="39"/>
      <c r="V65" s="131">
        <f>+T65-W65</f>
        <v>2683417</v>
      </c>
      <c r="W65" s="38">
        <v>0</v>
      </c>
      <c r="X65" s="38">
        <f>+T65</f>
        <v>2683417</v>
      </c>
      <c r="Y65" s="38">
        <v>0</v>
      </c>
      <c r="Z65" s="38">
        <v>0</v>
      </c>
      <c r="AA65" s="91">
        <v>0</v>
      </c>
      <c r="AB65" s="91">
        <v>0</v>
      </c>
      <c r="AC65" s="91">
        <v>0</v>
      </c>
      <c r="AD65" s="91">
        <v>0</v>
      </c>
      <c r="AE65" s="91">
        <v>0</v>
      </c>
      <c r="AF65" s="91">
        <v>0</v>
      </c>
      <c r="AG65" s="204">
        <v>0</v>
      </c>
    </row>
    <row r="66" spans="1:71" s="103" customFormat="1" ht="90" customHeight="1">
      <c r="A66" s="102">
        <f t="shared" si="17"/>
        <v>45</v>
      </c>
      <c r="B66" s="52" t="s">
        <v>232</v>
      </c>
      <c r="C66" s="51" t="s">
        <v>233</v>
      </c>
      <c r="D66" s="35" t="s">
        <v>96</v>
      </c>
      <c r="E66" s="35">
        <v>800003954</v>
      </c>
      <c r="F66" s="36" t="s">
        <v>67</v>
      </c>
      <c r="G66" s="35" t="s">
        <v>48</v>
      </c>
      <c r="H66" s="51" t="s">
        <v>57</v>
      </c>
      <c r="I66" s="34" t="s">
        <v>234</v>
      </c>
      <c r="J66" s="52" t="s">
        <v>59</v>
      </c>
      <c r="K66" s="52" t="s">
        <v>60</v>
      </c>
      <c r="L66" s="51" t="s">
        <v>61</v>
      </c>
      <c r="M66" s="51" t="s">
        <v>222</v>
      </c>
      <c r="N66" s="36" t="s">
        <v>223</v>
      </c>
      <c r="O66" s="51"/>
      <c r="P66" s="51" t="s">
        <v>224</v>
      </c>
      <c r="Q66" s="37">
        <v>41699</v>
      </c>
      <c r="R66" s="37">
        <v>41912</v>
      </c>
      <c r="S66" s="35" t="s">
        <v>52</v>
      </c>
      <c r="T66" s="38">
        <v>2201865</v>
      </c>
      <c r="U66" s="39"/>
      <c r="V66" s="131">
        <f>+T66-W66</f>
        <v>2201865</v>
      </c>
      <c r="W66" s="38">
        <v>0</v>
      </c>
      <c r="X66" s="38">
        <f>+T66</f>
        <v>2201865</v>
      </c>
      <c r="Y66" s="38">
        <v>0</v>
      </c>
      <c r="Z66" s="38">
        <v>0</v>
      </c>
      <c r="AA66" s="91">
        <v>0</v>
      </c>
      <c r="AB66" s="91">
        <v>0</v>
      </c>
      <c r="AC66" s="91">
        <v>0</v>
      </c>
      <c r="AD66" s="91">
        <v>0</v>
      </c>
      <c r="AE66" s="91">
        <v>0</v>
      </c>
      <c r="AF66" s="91">
        <v>0</v>
      </c>
      <c r="AG66" s="204">
        <v>0</v>
      </c>
    </row>
    <row r="67" spans="1:71" s="103" customFormat="1" ht="90" customHeight="1">
      <c r="A67" s="102">
        <f t="shared" si="17"/>
        <v>46</v>
      </c>
      <c r="B67" s="52" t="s">
        <v>235</v>
      </c>
      <c r="C67" s="51" t="s">
        <v>236</v>
      </c>
      <c r="D67" s="35" t="s">
        <v>96</v>
      </c>
      <c r="E67" s="35">
        <v>800007476</v>
      </c>
      <c r="F67" s="36" t="s">
        <v>67</v>
      </c>
      <c r="G67" s="35" t="s">
        <v>48</v>
      </c>
      <c r="H67" s="51" t="s">
        <v>57</v>
      </c>
      <c r="I67" s="34" t="s">
        <v>141</v>
      </c>
      <c r="J67" s="52" t="s">
        <v>59</v>
      </c>
      <c r="K67" s="52" t="s">
        <v>60</v>
      </c>
      <c r="L67" s="51" t="s">
        <v>61</v>
      </c>
      <c r="M67" s="51" t="s">
        <v>222</v>
      </c>
      <c r="N67" s="36" t="s">
        <v>50</v>
      </c>
      <c r="O67" s="51"/>
      <c r="P67" s="51" t="s">
        <v>224</v>
      </c>
      <c r="Q67" s="37">
        <f>+Q66</f>
        <v>41699</v>
      </c>
      <c r="R67" s="37">
        <f>+R66</f>
        <v>41912</v>
      </c>
      <c r="S67" s="35" t="s">
        <v>52</v>
      </c>
      <c r="T67" s="38">
        <v>5027556</v>
      </c>
      <c r="U67" s="39"/>
      <c r="V67" s="131">
        <v>1900000</v>
      </c>
      <c r="W67" s="38">
        <v>0</v>
      </c>
      <c r="X67" s="38">
        <f>+T67</f>
        <v>5027556</v>
      </c>
      <c r="Y67" s="38">
        <v>0</v>
      </c>
      <c r="Z67" s="38">
        <v>0</v>
      </c>
      <c r="AA67" s="91">
        <v>0</v>
      </c>
      <c r="AB67" s="91">
        <v>0</v>
      </c>
      <c r="AC67" s="91">
        <v>0</v>
      </c>
      <c r="AD67" s="91">
        <v>0</v>
      </c>
      <c r="AE67" s="91">
        <v>0</v>
      </c>
      <c r="AF67" s="91">
        <v>0</v>
      </c>
      <c r="AG67" s="204">
        <v>0</v>
      </c>
    </row>
    <row r="68" spans="1:71" s="103" customFormat="1" ht="90" customHeight="1">
      <c r="A68" s="102">
        <f t="shared" si="17"/>
        <v>47</v>
      </c>
      <c r="B68" s="52" t="s">
        <v>237</v>
      </c>
      <c r="C68" s="51" t="s">
        <v>238</v>
      </c>
      <c r="D68" s="35" t="s">
        <v>65</v>
      </c>
      <c r="E68" s="35">
        <v>800035033</v>
      </c>
      <c r="F68" s="36" t="s">
        <v>67</v>
      </c>
      <c r="G68" s="35" t="s">
        <v>48</v>
      </c>
      <c r="H68" s="51" t="s">
        <v>74</v>
      </c>
      <c r="I68" s="34" t="s">
        <v>228</v>
      </c>
      <c r="J68" s="52" t="s">
        <v>75</v>
      </c>
      <c r="K68" s="52" t="s">
        <v>60</v>
      </c>
      <c r="L68" s="51" t="s">
        <v>61</v>
      </c>
      <c r="M68" s="51" t="s">
        <v>222</v>
      </c>
      <c r="N68" s="36" t="s">
        <v>223</v>
      </c>
      <c r="O68" s="51"/>
      <c r="P68" s="51" t="s">
        <v>224</v>
      </c>
      <c r="Q68" s="37">
        <v>41699</v>
      </c>
      <c r="R68" s="37">
        <v>41912</v>
      </c>
      <c r="S68" s="35" t="s">
        <v>52</v>
      </c>
      <c r="T68" s="38">
        <v>2952627</v>
      </c>
      <c r="U68" s="39"/>
      <c r="V68" s="131">
        <v>1900000</v>
      </c>
      <c r="W68" s="38">
        <v>0</v>
      </c>
      <c r="X68" s="38">
        <f>+T68</f>
        <v>2952627</v>
      </c>
      <c r="Y68" s="38">
        <v>0</v>
      </c>
      <c r="Z68" s="38">
        <v>0</v>
      </c>
      <c r="AA68" s="91">
        <v>0</v>
      </c>
      <c r="AB68" s="91">
        <v>0</v>
      </c>
      <c r="AC68" s="91">
        <v>0</v>
      </c>
      <c r="AD68" s="91">
        <v>0</v>
      </c>
      <c r="AE68" s="91">
        <v>0</v>
      </c>
      <c r="AF68" s="91">
        <v>0</v>
      </c>
      <c r="AG68" s="204">
        <v>0</v>
      </c>
    </row>
    <row r="69" spans="1:71" s="103" customFormat="1" ht="90" customHeight="1">
      <c r="A69" s="102">
        <f t="shared" si="17"/>
        <v>48</v>
      </c>
      <c r="B69" s="52" t="s">
        <v>239</v>
      </c>
      <c r="C69" s="51" t="s">
        <v>240</v>
      </c>
      <c r="D69" s="35" t="s">
        <v>65</v>
      </c>
      <c r="E69" s="35">
        <v>800035039</v>
      </c>
      <c r="F69" s="36" t="s">
        <v>67</v>
      </c>
      <c r="G69" s="35" t="s">
        <v>48</v>
      </c>
      <c r="H69" s="51" t="s">
        <v>74</v>
      </c>
      <c r="I69" s="34" t="s">
        <v>228</v>
      </c>
      <c r="J69" s="52" t="s">
        <v>75</v>
      </c>
      <c r="K69" s="52" t="s">
        <v>60</v>
      </c>
      <c r="L69" s="51" t="s">
        <v>61</v>
      </c>
      <c r="M69" s="51" t="s">
        <v>222</v>
      </c>
      <c r="N69" s="36" t="s">
        <v>223</v>
      </c>
      <c r="O69" s="51"/>
      <c r="P69" s="51" t="s">
        <v>224</v>
      </c>
      <c r="Q69" s="37">
        <v>41699</v>
      </c>
      <c r="R69" s="37">
        <v>41912</v>
      </c>
      <c r="S69" s="35" t="s">
        <v>52</v>
      </c>
      <c r="T69" s="38">
        <v>2617031</v>
      </c>
      <c r="U69" s="39"/>
      <c r="V69" s="131">
        <v>1900000</v>
      </c>
      <c r="W69" s="38">
        <v>0</v>
      </c>
      <c r="X69" s="38">
        <f t="shared" ref="X69:X72" si="32">+T69</f>
        <v>2617031</v>
      </c>
      <c r="Y69" s="132">
        <v>0</v>
      </c>
      <c r="Z69" s="38">
        <v>0</v>
      </c>
      <c r="AA69" s="91"/>
      <c r="AB69" s="91"/>
      <c r="AC69" s="91"/>
      <c r="AD69" s="91"/>
      <c r="AE69" s="91"/>
      <c r="AF69" s="91"/>
      <c r="AG69" s="204"/>
    </row>
    <row r="70" spans="1:71" s="103" customFormat="1" ht="90" customHeight="1">
      <c r="A70" s="102">
        <f t="shared" si="17"/>
        <v>49</v>
      </c>
      <c r="B70" s="52" t="s">
        <v>241</v>
      </c>
      <c r="C70" s="51" t="s">
        <v>242</v>
      </c>
      <c r="D70" s="35" t="s">
        <v>65</v>
      </c>
      <c r="E70" s="35">
        <v>800021246</v>
      </c>
      <c r="F70" s="36" t="s">
        <v>67</v>
      </c>
      <c r="G70" s="35" t="s">
        <v>48</v>
      </c>
      <c r="H70" s="51" t="s">
        <v>97</v>
      </c>
      <c r="I70" s="34" t="s">
        <v>243</v>
      </c>
      <c r="J70" s="52" t="s">
        <v>147</v>
      </c>
      <c r="K70" s="52" t="s">
        <v>60</v>
      </c>
      <c r="L70" s="51" t="s">
        <v>61</v>
      </c>
      <c r="M70" s="51" t="s">
        <v>222</v>
      </c>
      <c r="N70" s="36" t="s">
        <v>223</v>
      </c>
      <c r="O70" s="51"/>
      <c r="P70" s="51" t="s">
        <v>224</v>
      </c>
      <c r="Q70" s="37">
        <v>41699</v>
      </c>
      <c r="R70" s="37">
        <v>41912</v>
      </c>
      <c r="S70" s="35" t="s">
        <v>52</v>
      </c>
      <c r="T70" s="38">
        <v>2502998</v>
      </c>
      <c r="U70" s="39"/>
      <c r="V70" s="131">
        <v>1900000</v>
      </c>
      <c r="W70" s="38">
        <v>0</v>
      </c>
      <c r="X70" s="38">
        <f t="shared" si="32"/>
        <v>2502998</v>
      </c>
      <c r="Y70" s="38">
        <v>0</v>
      </c>
      <c r="Z70" s="38">
        <v>0</v>
      </c>
      <c r="AA70" s="91">
        <v>0</v>
      </c>
      <c r="AB70" s="91">
        <v>0</v>
      </c>
      <c r="AC70" s="91">
        <v>0</v>
      </c>
      <c r="AD70" s="91">
        <v>0</v>
      </c>
      <c r="AE70" s="91">
        <v>0</v>
      </c>
      <c r="AF70" s="91">
        <v>0</v>
      </c>
      <c r="AG70" s="204">
        <v>0</v>
      </c>
    </row>
    <row r="71" spans="1:71" s="103" customFormat="1" ht="90" customHeight="1">
      <c r="A71" s="102">
        <f t="shared" si="17"/>
        <v>50</v>
      </c>
      <c r="B71" s="52" t="s">
        <v>244</v>
      </c>
      <c r="C71" s="51" t="s">
        <v>245</v>
      </c>
      <c r="D71" s="35" t="s">
        <v>65</v>
      </c>
      <c r="E71" s="35">
        <v>800021709</v>
      </c>
      <c r="F71" s="36" t="s">
        <v>67</v>
      </c>
      <c r="G71" s="35" t="s">
        <v>48</v>
      </c>
      <c r="H71" s="51" t="s">
        <v>57</v>
      </c>
      <c r="I71" s="34" t="s">
        <v>58</v>
      </c>
      <c r="J71" s="51" t="s">
        <v>782</v>
      </c>
      <c r="K71" s="52" t="s">
        <v>60</v>
      </c>
      <c r="L71" s="51" t="s">
        <v>61</v>
      </c>
      <c r="M71" s="51" t="s">
        <v>222</v>
      </c>
      <c r="N71" s="36" t="s">
        <v>223</v>
      </c>
      <c r="O71" s="51"/>
      <c r="P71" s="51" t="s">
        <v>224</v>
      </c>
      <c r="Q71" s="37">
        <v>41699</v>
      </c>
      <c r="R71" s="37">
        <v>41912</v>
      </c>
      <c r="S71" s="35" t="s">
        <v>52</v>
      </c>
      <c r="T71" s="38">
        <v>2568937</v>
      </c>
      <c r="U71" s="39"/>
      <c r="V71" s="131">
        <v>1900000</v>
      </c>
      <c r="W71" s="38">
        <v>0</v>
      </c>
      <c r="X71" s="38">
        <f t="shared" si="32"/>
        <v>2568937</v>
      </c>
      <c r="Y71" s="38">
        <v>0</v>
      </c>
      <c r="Z71" s="38">
        <v>0</v>
      </c>
      <c r="AA71" s="91">
        <v>0</v>
      </c>
      <c r="AB71" s="91">
        <v>0</v>
      </c>
      <c r="AC71" s="91">
        <v>0</v>
      </c>
      <c r="AD71" s="91">
        <v>0</v>
      </c>
      <c r="AE71" s="91">
        <v>0</v>
      </c>
      <c r="AF71" s="91">
        <v>0</v>
      </c>
      <c r="AG71" s="204">
        <v>0</v>
      </c>
    </row>
    <row r="72" spans="1:71" s="103" customFormat="1" ht="90" customHeight="1">
      <c r="A72" s="102">
        <f t="shared" si="17"/>
        <v>51</v>
      </c>
      <c r="B72" s="52" t="s">
        <v>246</v>
      </c>
      <c r="C72" s="51" t="s">
        <v>247</v>
      </c>
      <c r="D72" s="35" t="s">
        <v>65</v>
      </c>
      <c r="E72" s="35">
        <v>800022061</v>
      </c>
      <c r="F72" s="36" t="s">
        <v>67</v>
      </c>
      <c r="G72" s="35" t="s">
        <v>48</v>
      </c>
      <c r="H72" s="51" t="s">
        <v>97</v>
      </c>
      <c r="I72" s="34" t="s">
        <v>243</v>
      </c>
      <c r="J72" s="52" t="s">
        <v>147</v>
      </c>
      <c r="K72" s="52" t="s">
        <v>60</v>
      </c>
      <c r="L72" s="51" t="s">
        <v>61</v>
      </c>
      <c r="M72" s="51" t="s">
        <v>222</v>
      </c>
      <c r="N72" s="36" t="s">
        <v>223</v>
      </c>
      <c r="O72" s="51"/>
      <c r="P72" s="51" t="s">
        <v>224</v>
      </c>
      <c r="Q72" s="37">
        <v>41699</v>
      </c>
      <c r="R72" s="37">
        <v>41912</v>
      </c>
      <c r="S72" s="35" t="s">
        <v>52</v>
      </c>
      <c r="T72" s="38">
        <v>2573719</v>
      </c>
      <c r="U72" s="39"/>
      <c r="V72" s="131">
        <v>1900000</v>
      </c>
      <c r="W72" s="38">
        <v>0</v>
      </c>
      <c r="X72" s="38">
        <f t="shared" si="32"/>
        <v>2573719</v>
      </c>
      <c r="Y72" s="38">
        <v>0</v>
      </c>
      <c r="Z72" s="38">
        <v>0</v>
      </c>
      <c r="AA72" s="91">
        <v>0</v>
      </c>
      <c r="AB72" s="91">
        <v>0</v>
      </c>
      <c r="AC72" s="91">
        <v>0</v>
      </c>
      <c r="AD72" s="91">
        <v>0</v>
      </c>
      <c r="AE72" s="91">
        <v>0</v>
      </c>
      <c r="AF72" s="91">
        <v>0</v>
      </c>
      <c r="AG72" s="204">
        <v>0</v>
      </c>
    </row>
    <row r="73" spans="1:71" s="103" customFormat="1" ht="90" customHeight="1">
      <c r="A73" s="102">
        <f t="shared" si="17"/>
        <v>52</v>
      </c>
      <c r="B73" s="52" t="s">
        <v>248</v>
      </c>
      <c r="C73" s="51" t="s">
        <v>249</v>
      </c>
      <c r="D73" s="35" t="s">
        <v>73</v>
      </c>
      <c r="E73" s="35">
        <v>800035091</v>
      </c>
      <c r="F73" s="36" t="s">
        <v>67</v>
      </c>
      <c r="G73" s="35" t="s">
        <v>48</v>
      </c>
      <c r="H73" s="51" t="s">
        <v>74</v>
      </c>
      <c r="I73" s="34" t="s">
        <v>199</v>
      </c>
      <c r="J73" s="52" t="s">
        <v>75</v>
      </c>
      <c r="K73" s="52" t="s">
        <v>60</v>
      </c>
      <c r="L73" s="51" t="s">
        <v>49</v>
      </c>
      <c r="M73" s="51" t="s">
        <v>100</v>
      </c>
      <c r="N73" s="36" t="s">
        <v>50</v>
      </c>
      <c r="O73" s="51"/>
      <c r="P73" s="51" t="s">
        <v>250</v>
      </c>
      <c r="Q73" s="37">
        <v>42461</v>
      </c>
      <c r="R73" s="37">
        <v>42824</v>
      </c>
      <c r="S73" s="35" t="s">
        <v>87</v>
      </c>
      <c r="T73" s="38">
        <v>45000000</v>
      </c>
      <c r="U73" s="39"/>
      <c r="V73" s="131">
        <v>0</v>
      </c>
      <c r="W73" s="38">
        <v>0</v>
      </c>
      <c r="X73" s="38">
        <v>2300000</v>
      </c>
      <c r="Y73" s="132">
        <v>20000000</v>
      </c>
      <c r="Z73" s="38">
        <v>22700000</v>
      </c>
      <c r="AA73" s="91">
        <v>0</v>
      </c>
      <c r="AB73" s="91">
        <f>+T73*0.01</f>
        <v>450000</v>
      </c>
      <c r="AC73" s="91">
        <v>0</v>
      </c>
      <c r="AD73" s="91">
        <f>+AB73*1.15</f>
        <v>517499.99999999994</v>
      </c>
      <c r="AE73" s="91">
        <v>0</v>
      </c>
      <c r="AF73" s="91">
        <f>+AD73*1.15</f>
        <v>595124.99999999988</v>
      </c>
      <c r="AG73" s="204">
        <v>0</v>
      </c>
    </row>
    <row r="74" spans="1:71" s="103" customFormat="1" ht="90" customHeight="1">
      <c r="A74" s="102">
        <f t="shared" si="17"/>
        <v>53</v>
      </c>
      <c r="B74" s="52" t="s">
        <v>251</v>
      </c>
      <c r="C74" s="51" t="s">
        <v>252</v>
      </c>
      <c r="D74" s="35" t="s">
        <v>73</v>
      </c>
      <c r="E74" s="35">
        <v>800005611</v>
      </c>
      <c r="F74" s="36" t="s">
        <v>67</v>
      </c>
      <c r="G74" s="35" t="s">
        <v>48</v>
      </c>
      <c r="H74" s="51" t="s">
        <v>68</v>
      </c>
      <c r="I74" s="34" t="s">
        <v>253</v>
      </c>
      <c r="J74" s="52" t="s">
        <v>84</v>
      </c>
      <c r="K74" s="52"/>
      <c r="L74" s="51" t="s">
        <v>49</v>
      </c>
      <c r="M74" s="51" t="s">
        <v>2</v>
      </c>
      <c r="N74" s="36" t="s">
        <v>50</v>
      </c>
      <c r="O74" s="51"/>
      <c r="P74" s="51" t="s">
        <v>254</v>
      </c>
      <c r="Q74" s="37">
        <v>42461</v>
      </c>
      <c r="R74" s="37">
        <v>42824</v>
      </c>
      <c r="S74" s="35" t="s">
        <v>96</v>
      </c>
      <c r="T74" s="38">
        <v>42000000</v>
      </c>
      <c r="U74" s="39"/>
      <c r="V74" s="131">
        <v>0</v>
      </c>
      <c r="W74" s="38">
        <v>0</v>
      </c>
      <c r="X74" s="38">
        <v>0</v>
      </c>
      <c r="Y74" s="132">
        <f>+T74*0.235*0.3</f>
        <v>2961000</v>
      </c>
      <c r="Z74" s="38">
        <f>+T74-Y74-AA74</f>
        <v>23439000</v>
      </c>
      <c r="AA74" s="91">
        <v>15600000</v>
      </c>
      <c r="AB74" s="91">
        <v>0</v>
      </c>
      <c r="AC74" s="91">
        <f>+T74*0.01</f>
        <v>420000</v>
      </c>
      <c r="AD74" s="91">
        <v>0</v>
      </c>
      <c r="AE74" s="91">
        <f>+AC74*1.15</f>
        <v>482999.99999999994</v>
      </c>
      <c r="AF74" s="91">
        <v>0</v>
      </c>
      <c r="AG74" s="204">
        <f>+AE74*1.15</f>
        <v>555449.99999999988</v>
      </c>
    </row>
    <row r="75" spans="1:71" s="103" customFormat="1" ht="90" customHeight="1">
      <c r="A75" s="102">
        <f t="shared" si="17"/>
        <v>54</v>
      </c>
      <c r="B75" s="52" t="s">
        <v>255</v>
      </c>
      <c r="C75" s="51" t="s">
        <v>256</v>
      </c>
      <c r="D75" s="35" t="s">
        <v>73</v>
      </c>
      <c r="E75" s="35">
        <v>800003574</v>
      </c>
      <c r="F75" s="36" t="s">
        <v>67</v>
      </c>
      <c r="G75" s="35" t="s">
        <v>48</v>
      </c>
      <c r="H75" s="51" t="s">
        <v>68</v>
      </c>
      <c r="I75" s="34" t="s">
        <v>257</v>
      </c>
      <c r="J75" s="52" t="s">
        <v>258</v>
      </c>
      <c r="K75" s="52"/>
      <c r="L75" s="51" t="s">
        <v>61</v>
      </c>
      <c r="M75" s="51" t="s">
        <v>117</v>
      </c>
      <c r="N75" s="36" t="s">
        <v>50</v>
      </c>
      <c r="O75" s="51"/>
      <c r="P75" s="51" t="s">
        <v>259</v>
      </c>
      <c r="Q75" s="37">
        <v>42095</v>
      </c>
      <c r="R75" s="37">
        <v>42459</v>
      </c>
      <c r="S75" s="35" t="s">
        <v>87</v>
      </c>
      <c r="T75" s="38">
        <v>9767160.9000000004</v>
      </c>
      <c r="U75" s="39"/>
      <c r="V75" s="131">
        <v>0</v>
      </c>
      <c r="W75" s="38">
        <v>0</v>
      </c>
      <c r="X75" s="38">
        <f>+T75*0.235*0.3</f>
        <v>688584.84344999993</v>
      </c>
      <c r="Y75" s="38">
        <f>+T75-X75</f>
        <v>9078576.0565499999</v>
      </c>
      <c r="Z75" s="38">
        <v>0</v>
      </c>
      <c r="AA75" s="91">
        <f>+(T75+X287)*0.01</f>
        <v>101514.62476028573</v>
      </c>
      <c r="AB75" s="91">
        <v>0</v>
      </c>
      <c r="AC75" s="91">
        <f>+AA75*1.15</f>
        <v>116741.81847432858</v>
      </c>
      <c r="AD75" s="91">
        <v>0</v>
      </c>
      <c r="AE75" s="91">
        <f>+AC75*1.15</f>
        <v>134253.09124547784</v>
      </c>
      <c r="AF75" s="91">
        <v>0</v>
      </c>
      <c r="AG75" s="204">
        <f>+AE75*1.15</f>
        <v>154391.05493229951</v>
      </c>
      <c r="AL75" s="103">
        <f>SUM(BK75:BV75)</f>
        <v>6938334.3928798474</v>
      </c>
      <c r="AM75" s="103">
        <v>54765.238073732864</v>
      </c>
      <c r="AN75" s="103">
        <v>164295.71422119858</v>
      </c>
      <c r="AO75" s="103">
        <v>273826.19036866428</v>
      </c>
      <c r="AP75" s="103">
        <v>383356.66651613009</v>
      </c>
      <c r="AQ75" s="103">
        <v>492887.1426635955</v>
      </c>
      <c r="AR75" s="103">
        <v>602417.61881106161</v>
      </c>
      <c r="AS75" s="103">
        <v>711948.09495852748</v>
      </c>
      <c r="AT75" s="103">
        <v>821478.57110599289</v>
      </c>
      <c r="AU75" s="103">
        <v>931009.04725345783</v>
      </c>
      <c r="AV75" s="103">
        <v>1040539.5234009242</v>
      </c>
      <c r="AW75" s="103">
        <v>1150069.9995483886</v>
      </c>
      <c r="AX75" s="103">
        <v>1259600.4756958578</v>
      </c>
      <c r="AY75" s="103">
        <v>1369130.9518433213</v>
      </c>
      <c r="AZ75" s="103">
        <v>1478661.4279907886</v>
      </c>
      <c r="BA75" s="103">
        <v>1588191.9041382521</v>
      </c>
      <c r="BB75" s="103">
        <v>1697722.3802857194</v>
      </c>
      <c r="BC75" s="103">
        <v>1807252.856433183</v>
      </c>
      <c r="BD75" s="103">
        <v>1916783.3325806484</v>
      </c>
      <c r="BE75" s="103">
        <v>2026313.8087281212</v>
      </c>
      <c r="BF75" s="103">
        <v>2135844.2848755755</v>
      </c>
      <c r="BG75" s="103">
        <v>2139088.0720537938</v>
      </c>
      <c r="BH75" s="103">
        <v>1970144.3337806985</v>
      </c>
      <c r="BI75" s="103">
        <v>1798827.4351910762</v>
      </c>
      <c r="BJ75" s="103">
        <v>1627510.5366014428</v>
      </c>
      <c r="BK75" s="103">
        <v>1456193.6380118206</v>
      </c>
      <c r="BL75" s="103">
        <v>1284876.7394221909</v>
      </c>
      <c r="BM75" s="103">
        <v>1113559.8408325687</v>
      </c>
      <c r="BN75" s="103">
        <v>942242.94224294275</v>
      </c>
      <c r="BO75" s="103">
        <v>770926.0436533168</v>
      </c>
      <c r="BP75" s="103">
        <v>599609.14506369084</v>
      </c>
      <c r="BQ75" s="103">
        <v>428292.24647406489</v>
      </c>
      <c r="BR75" s="103">
        <v>256975.34788443893</v>
      </c>
      <c r="BS75" s="103">
        <v>85658.449294812977</v>
      </c>
    </row>
    <row r="76" spans="1:71" s="103" customFormat="1" ht="90" customHeight="1">
      <c r="A76" s="102">
        <f t="shared" si="17"/>
        <v>55</v>
      </c>
      <c r="B76" s="52" t="s">
        <v>260</v>
      </c>
      <c r="C76" s="51" t="s">
        <v>261</v>
      </c>
      <c r="D76" s="35" t="s">
        <v>73</v>
      </c>
      <c r="E76" s="35">
        <v>800035151</v>
      </c>
      <c r="F76" s="36" t="s">
        <v>187</v>
      </c>
      <c r="G76" s="35" t="s">
        <v>48</v>
      </c>
      <c r="H76" s="51" t="s">
        <v>74</v>
      </c>
      <c r="I76" s="34" t="s">
        <v>204</v>
      </c>
      <c r="J76" s="52" t="s">
        <v>75</v>
      </c>
      <c r="K76" s="52" t="s">
        <v>60</v>
      </c>
      <c r="L76" s="51" t="s">
        <v>262</v>
      </c>
      <c r="M76" s="51" t="s">
        <v>7</v>
      </c>
      <c r="N76" s="36" t="s">
        <v>181</v>
      </c>
      <c r="O76" s="51"/>
      <c r="P76" s="51" t="s">
        <v>263</v>
      </c>
      <c r="Q76" s="37">
        <v>42491</v>
      </c>
      <c r="R76" s="37">
        <v>42825</v>
      </c>
      <c r="S76" s="35" t="s">
        <v>96</v>
      </c>
      <c r="T76" s="38">
        <v>10800000</v>
      </c>
      <c r="U76" s="39"/>
      <c r="V76" s="131">
        <v>0</v>
      </c>
      <c r="W76" s="38">
        <v>0</v>
      </c>
      <c r="X76" s="38">
        <v>0</v>
      </c>
      <c r="Y76" s="132">
        <f>+T76</f>
        <v>10800000</v>
      </c>
      <c r="Z76" s="38">
        <v>0</v>
      </c>
      <c r="AA76" s="91">
        <v>0</v>
      </c>
      <c r="AB76" s="91">
        <v>0</v>
      </c>
      <c r="AC76" s="91">
        <v>0</v>
      </c>
      <c r="AD76" s="91">
        <v>0</v>
      </c>
      <c r="AE76" s="91">
        <v>0</v>
      </c>
      <c r="AF76" s="91">
        <v>0</v>
      </c>
      <c r="AG76" s="204">
        <v>0</v>
      </c>
    </row>
    <row r="77" spans="1:71" s="103" customFormat="1" ht="90" customHeight="1">
      <c r="A77" s="102">
        <f t="shared" si="17"/>
        <v>56</v>
      </c>
      <c r="B77" s="52" t="s">
        <v>264</v>
      </c>
      <c r="C77" s="51" t="s">
        <v>265</v>
      </c>
      <c r="D77" s="35" t="s">
        <v>73</v>
      </c>
      <c r="E77" s="35">
        <v>800035485</v>
      </c>
      <c r="F77" s="36" t="s">
        <v>67</v>
      </c>
      <c r="G77" s="35" t="s">
        <v>48</v>
      </c>
      <c r="H77" s="51" t="s">
        <v>57</v>
      </c>
      <c r="I77" s="34" t="s">
        <v>266</v>
      </c>
      <c r="J77" s="51" t="s">
        <v>782</v>
      </c>
      <c r="K77" s="52" t="s">
        <v>60</v>
      </c>
      <c r="L77" s="51" t="s">
        <v>61</v>
      </c>
      <c r="M77" s="51" t="s">
        <v>117</v>
      </c>
      <c r="N77" s="36" t="s">
        <v>50</v>
      </c>
      <c r="O77" s="51"/>
      <c r="P77" s="51" t="s">
        <v>267</v>
      </c>
      <c r="Q77" s="37">
        <v>42156</v>
      </c>
      <c r="R77" s="37">
        <v>42521</v>
      </c>
      <c r="S77" s="35" t="s">
        <v>52</v>
      </c>
      <c r="T77" s="38">
        <v>12486148.4</v>
      </c>
      <c r="U77" s="39"/>
      <c r="V77" s="131">
        <v>0</v>
      </c>
      <c r="W77" s="38">
        <v>0</v>
      </c>
      <c r="X77" s="38">
        <f>775693+11086148</f>
        <v>11861841</v>
      </c>
      <c r="Y77" s="132">
        <f>+T77*0.05</f>
        <v>624307.42000000004</v>
      </c>
      <c r="Z77" s="38">
        <v>0</v>
      </c>
      <c r="AA77" s="91">
        <f>+T77*0.01</f>
        <v>124861.48400000001</v>
      </c>
      <c r="AB77" s="91">
        <v>0</v>
      </c>
      <c r="AC77" s="91">
        <f>+AA77*1.15</f>
        <v>143590.7066</v>
      </c>
      <c r="AD77" s="91">
        <v>0</v>
      </c>
      <c r="AE77" s="91">
        <f>+AC77*1.15</f>
        <v>165129.31258999999</v>
      </c>
      <c r="AF77" s="91">
        <v>0</v>
      </c>
      <c r="AG77" s="204">
        <f>+AE77*1.15</f>
        <v>189898.70947849998</v>
      </c>
    </row>
    <row r="78" spans="1:71" s="103" customFormat="1" ht="90" customHeight="1">
      <c r="A78" s="102">
        <f t="shared" si="17"/>
        <v>57</v>
      </c>
      <c r="B78" s="52" t="s">
        <v>268</v>
      </c>
      <c r="C78" s="51" t="s">
        <v>269</v>
      </c>
      <c r="D78" s="35" t="s">
        <v>73</v>
      </c>
      <c r="E78" s="35" t="s">
        <v>66</v>
      </c>
      <c r="F78" s="36" t="s">
        <v>67</v>
      </c>
      <c r="G78" s="35" t="s">
        <v>48</v>
      </c>
      <c r="H78" s="51" t="s">
        <v>68</v>
      </c>
      <c r="I78" s="34" t="s">
        <v>90</v>
      </c>
      <c r="J78" s="52" t="s">
        <v>70</v>
      </c>
      <c r="K78" s="52" t="s">
        <v>60</v>
      </c>
      <c r="L78" s="51" t="s">
        <v>49</v>
      </c>
      <c r="M78" s="51" t="s">
        <v>2</v>
      </c>
      <c r="N78" s="36" t="s">
        <v>50</v>
      </c>
      <c r="O78" s="51"/>
      <c r="P78" s="51" t="s">
        <v>270</v>
      </c>
      <c r="Q78" s="37">
        <v>42461</v>
      </c>
      <c r="R78" s="37">
        <v>42916</v>
      </c>
      <c r="S78" s="35" t="s">
        <v>87</v>
      </c>
      <c r="T78" s="38">
        <v>21177012.780000001</v>
      </c>
      <c r="U78" s="39"/>
      <c r="V78" s="131">
        <v>0</v>
      </c>
      <c r="W78" s="38">
        <v>0</v>
      </c>
      <c r="X78" s="38">
        <v>500000</v>
      </c>
      <c r="Y78" s="132">
        <v>16177013</v>
      </c>
      <c r="Z78" s="38">
        <v>4500000</v>
      </c>
      <c r="AA78" s="91">
        <v>0</v>
      </c>
      <c r="AB78" s="91">
        <f>+T78*0.01</f>
        <v>211770.12780000002</v>
      </c>
      <c r="AC78" s="91">
        <v>0</v>
      </c>
      <c r="AD78" s="91">
        <f>+AB78*1.15</f>
        <v>243535.64697</v>
      </c>
      <c r="AE78" s="91">
        <v>0</v>
      </c>
      <c r="AF78" s="91">
        <f>+AD78*1.15</f>
        <v>280065.99401550001</v>
      </c>
      <c r="AG78" s="204">
        <v>0</v>
      </c>
    </row>
    <row r="79" spans="1:71" s="103" customFormat="1" ht="90" customHeight="1">
      <c r="A79" s="102">
        <f t="shared" si="17"/>
        <v>58</v>
      </c>
      <c r="B79" s="52" t="s">
        <v>271</v>
      </c>
      <c r="C79" s="51" t="s">
        <v>272</v>
      </c>
      <c r="D79" s="35" t="s">
        <v>73</v>
      </c>
      <c r="E79" s="35">
        <v>800010041</v>
      </c>
      <c r="F79" s="36" t="s">
        <v>67</v>
      </c>
      <c r="G79" s="35" t="s">
        <v>48</v>
      </c>
      <c r="H79" s="51" t="s">
        <v>97</v>
      </c>
      <c r="I79" s="34" t="s">
        <v>168</v>
      </c>
      <c r="J79" s="52" t="s">
        <v>169</v>
      </c>
      <c r="K79" s="52" t="s">
        <v>60</v>
      </c>
      <c r="L79" s="51" t="s">
        <v>61</v>
      </c>
      <c r="M79" s="51" t="s">
        <v>117</v>
      </c>
      <c r="N79" s="36" t="s">
        <v>50</v>
      </c>
      <c r="O79" s="51"/>
      <c r="P79" s="51" t="s">
        <v>273</v>
      </c>
      <c r="Q79" s="37">
        <v>41487</v>
      </c>
      <c r="R79" s="37">
        <v>42094</v>
      </c>
      <c r="S79" s="35" t="s">
        <v>96</v>
      </c>
      <c r="T79" s="38">
        <f>+(1350713+929210+1247367+12*1022001/14+4298671+250000+1050000+150000+16*190000)*1.23*1.07</f>
        <v>17361941.000185717</v>
      </c>
      <c r="U79" s="39"/>
      <c r="V79" s="131">
        <v>0</v>
      </c>
      <c r="W79" s="38">
        <v>0</v>
      </c>
      <c r="X79" s="38">
        <v>0</v>
      </c>
      <c r="Y79" s="132">
        <f>+T79*0.235*0.3</f>
        <v>1224016.8405130929</v>
      </c>
      <c r="Z79" s="38">
        <f>+T79-Y79-AA79</f>
        <v>15096207.69966148</v>
      </c>
      <c r="AA79" s="91">
        <f>+T79*0.06</f>
        <v>1041716.460011143</v>
      </c>
      <c r="AB79" s="91">
        <v>0</v>
      </c>
      <c r="AC79" s="91">
        <f>+T79*0.01</f>
        <v>173619.41000185718</v>
      </c>
      <c r="AD79" s="91">
        <v>0</v>
      </c>
      <c r="AE79" s="91">
        <f>+AC79*1.15</f>
        <v>199662.32150213575</v>
      </c>
      <c r="AF79" s="91">
        <v>0</v>
      </c>
      <c r="AG79" s="204">
        <f>+AE79*1.15</f>
        <v>229611.66972745609</v>
      </c>
    </row>
    <row r="80" spans="1:71" s="103" customFormat="1" ht="90" customHeight="1">
      <c r="A80" s="102">
        <f t="shared" si="17"/>
        <v>59</v>
      </c>
      <c r="B80" s="52" t="s">
        <v>274</v>
      </c>
      <c r="C80" s="51" t="s">
        <v>275</v>
      </c>
      <c r="D80" s="35" t="s">
        <v>65</v>
      </c>
      <c r="E80" s="35">
        <v>800010702</v>
      </c>
      <c r="F80" s="36" t="s">
        <v>67</v>
      </c>
      <c r="G80" s="35" t="s">
        <v>48</v>
      </c>
      <c r="H80" s="51" t="s">
        <v>57</v>
      </c>
      <c r="I80" s="34" t="s">
        <v>266</v>
      </c>
      <c r="J80" s="51" t="s">
        <v>782</v>
      </c>
      <c r="K80" s="52" t="s">
        <v>60</v>
      </c>
      <c r="L80" s="51" t="s">
        <v>61</v>
      </c>
      <c r="M80" s="51" t="s">
        <v>117</v>
      </c>
      <c r="N80" s="36" t="s">
        <v>50</v>
      </c>
      <c r="O80" s="51"/>
      <c r="P80" s="51" t="s">
        <v>276</v>
      </c>
      <c r="Q80" s="37">
        <v>41487</v>
      </c>
      <c r="R80" s="37">
        <v>42004</v>
      </c>
      <c r="S80" s="35" t="s">
        <v>52</v>
      </c>
      <c r="T80" s="38">
        <v>1800000</v>
      </c>
      <c r="U80" s="39"/>
      <c r="V80" s="131">
        <v>0</v>
      </c>
      <c r="W80" s="38">
        <v>0</v>
      </c>
      <c r="X80" s="38">
        <f>+T80</f>
        <v>1800000</v>
      </c>
      <c r="Y80" s="38">
        <v>0</v>
      </c>
      <c r="Z80" s="38">
        <v>0</v>
      </c>
      <c r="AA80" s="91">
        <v>0</v>
      </c>
      <c r="AB80" s="91">
        <v>0</v>
      </c>
      <c r="AC80" s="91">
        <v>0</v>
      </c>
      <c r="AD80" s="91">
        <v>0</v>
      </c>
      <c r="AE80" s="91">
        <v>0</v>
      </c>
      <c r="AF80" s="91">
        <v>0</v>
      </c>
      <c r="AG80" s="204">
        <v>0</v>
      </c>
    </row>
    <row r="81" spans="1:33" s="103" customFormat="1" ht="90" customHeight="1">
      <c r="A81" s="102">
        <f t="shared" si="17"/>
        <v>60</v>
      </c>
      <c r="B81" s="52" t="s">
        <v>277</v>
      </c>
      <c r="C81" s="51" t="s">
        <v>278</v>
      </c>
      <c r="D81" s="35" t="s">
        <v>73</v>
      </c>
      <c r="E81" s="35">
        <v>800016238</v>
      </c>
      <c r="F81" s="36" t="s">
        <v>67</v>
      </c>
      <c r="G81" s="35" t="s">
        <v>48</v>
      </c>
      <c r="H81" s="51" t="s">
        <v>57</v>
      </c>
      <c r="I81" s="34" t="s">
        <v>58</v>
      </c>
      <c r="J81" s="51" t="s">
        <v>782</v>
      </c>
      <c r="K81" s="52" t="s">
        <v>60</v>
      </c>
      <c r="L81" s="51" t="s">
        <v>61</v>
      </c>
      <c r="M81" s="51" t="s">
        <v>117</v>
      </c>
      <c r="N81" s="36" t="s">
        <v>50</v>
      </c>
      <c r="O81" s="51"/>
      <c r="P81" s="51" t="s">
        <v>279</v>
      </c>
      <c r="Q81" s="37">
        <v>42156</v>
      </c>
      <c r="R81" s="37">
        <v>42521</v>
      </c>
      <c r="S81" s="35" t="s">
        <v>52</v>
      </c>
      <c r="T81" s="38">
        <v>20000000</v>
      </c>
      <c r="U81" s="39"/>
      <c r="V81" s="131">
        <v>0</v>
      </c>
      <c r="W81" s="38">
        <v>0</v>
      </c>
      <c r="X81" s="38">
        <f>650000+16525000</f>
        <v>17175000</v>
      </c>
      <c r="Y81" s="132">
        <f>+T81-W81-X81</f>
        <v>2825000</v>
      </c>
      <c r="Z81" s="38">
        <v>0</v>
      </c>
      <c r="AA81" s="91"/>
      <c r="AB81" s="91"/>
      <c r="AC81" s="91"/>
      <c r="AD81" s="91"/>
      <c r="AE81" s="91"/>
      <c r="AF81" s="91"/>
      <c r="AG81" s="204"/>
    </row>
    <row r="82" spans="1:33" s="103" customFormat="1" ht="90" customHeight="1">
      <c r="A82" s="102">
        <f t="shared" si="17"/>
        <v>61</v>
      </c>
      <c r="B82" s="52" t="s">
        <v>280</v>
      </c>
      <c r="C82" s="51" t="s">
        <v>281</v>
      </c>
      <c r="D82" s="35" t="s">
        <v>73</v>
      </c>
      <c r="E82" s="35">
        <v>800034951</v>
      </c>
      <c r="F82" s="36" t="s">
        <v>67</v>
      </c>
      <c r="G82" s="35" t="s">
        <v>48</v>
      </c>
      <c r="H82" s="51" t="s">
        <v>74</v>
      </c>
      <c r="I82" s="34" t="s">
        <v>79</v>
      </c>
      <c r="J82" s="52" t="s">
        <v>75</v>
      </c>
      <c r="K82" s="52" t="s">
        <v>60</v>
      </c>
      <c r="L82" s="51" t="s">
        <v>61</v>
      </c>
      <c r="M82" s="51" t="s">
        <v>117</v>
      </c>
      <c r="N82" s="36" t="s">
        <v>50</v>
      </c>
      <c r="O82" s="51"/>
      <c r="P82" s="51" t="s">
        <v>282</v>
      </c>
      <c r="Q82" s="37">
        <v>41730</v>
      </c>
      <c r="R82" s="37">
        <v>42460</v>
      </c>
      <c r="S82" s="35" t="s">
        <v>96</v>
      </c>
      <c r="T82" s="38">
        <v>7130098.0800000001</v>
      </c>
      <c r="U82" s="39"/>
      <c r="V82" s="131">
        <v>0</v>
      </c>
      <c r="W82" s="38">
        <v>0</v>
      </c>
      <c r="X82" s="38">
        <v>0</v>
      </c>
      <c r="Y82" s="132">
        <v>356505</v>
      </c>
      <c r="Z82" s="38">
        <v>6773593</v>
      </c>
      <c r="AA82" s="91">
        <v>0</v>
      </c>
      <c r="AB82" s="91">
        <f>+T82*0.01</f>
        <v>71300.980800000005</v>
      </c>
      <c r="AC82" s="91">
        <v>0</v>
      </c>
      <c r="AD82" s="91">
        <f>+AB82*1.15</f>
        <v>81996.127919999999</v>
      </c>
      <c r="AE82" s="91">
        <v>0</v>
      </c>
      <c r="AF82" s="91">
        <f>+AD82*1.15</f>
        <v>94295.547107999984</v>
      </c>
      <c r="AG82" s="204">
        <v>0</v>
      </c>
    </row>
    <row r="83" spans="1:33" s="103" customFormat="1" ht="90" customHeight="1">
      <c r="A83" s="102">
        <f t="shared" si="17"/>
        <v>62</v>
      </c>
      <c r="B83" s="52" t="s">
        <v>277</v>
      </c>
      <c r="C83" s="51" t="s">
        <v>283</v>
      </c>
      <c r="D83" s="35" t="s">
        <v>73</v>
      </c>
      <c r="E83" s="35">
        <v>800020263</v>
      </c>
      <c r="F83" s="36" t="s">
        <v>67</v>
      </c>
      <c r="G83" s="35" t="s">
        <v>48</v>
      </c>
      <c r="H83" s="51" t="s">
        <v>57</v>
      </c>
      <c r="I83" s="34" t="s">
        <v>58</v>
      </c>
      <c r="J83" s="51" t="s">
        <v>782</v>
      </c>
      <c r="K83" s="52" t="s">
        <v>60</v>
      </c>
      <c r="L83" s="51" t="s">
        <v>61</v>
      </c>
      <c r="M83" s="51" t="s">
        <v>117</v>
      </c>
      <c r="N83" s="36" t="s">
        <v>50</v>
      </c>
      <c r="O83" s="51"/>
      <c r="P83" s="51" t="s">
        <v>284</v>
      </c>
      <c r="Q83" s="37">
        <v>41487</v>
      </c>
      <c r="R83" s="37">
        <v>42369</v>
      </c>
      <c r="S83" s="35" t="s">
        <v>87</v>
      </c>
      <c r="T83" s="38">
        <v>20000000</v>
      </c>
      <c r="U83" s="39"/>
      <c r="V83" s="131">
        <v>0</v>
      </c>
      <c r="W83" s="38">
        <v>0</v>
      </c>
      <c r="X83" s="38">
        <f>+T83*0.235*0.3</f>
        <v>1410000</v>
      </c>
      <c r="Y83" s="132">
        <f>+T83-X83-Z83</f>
        <v>17390000</v>
      </c>
      <c r="Z83" s="38">
        <f>+T83*0.06</f>
        <v>1200000</v>
      </c>
      <c r="AA83" s="91">
        <v>0</v>
      </c>
      <c r="AB83" s="91">
        <f>+T83*0.01</f>
        <v>200000</v>
      </c>
      <c r="AC83" s="91">
        <f>+AA83*1.15</f>
        <v>0</v>
      </c>
      <c r="AD83" s="91">
        <f t="shared" ref="AD83:AF83" si="33">+AB83*1.15</f>
        <v>229999.99999999997</v>
      </c>
      <c r="AE83" s="91">
        <f t="shared" si="33"/>
        <v>0</v>
      </c>
      <c r="AF83" s="91">
        <f t="shared" si="33"/>
        <v>264499.99999999994</v>
      </c>
      <c r="AG83" s="204">
        <f>+AE83*1.15</f>
        <v>0</v>
      </c>
    </row>
    <row r="84" spans="1:33" s="103" customFormat="1" ht="90" customHeight="1">
      <c r="A84" s="102">
        <f t="shared" si="17"/>
        <v>63</v>
      </c>
      <c r="B84" s="52" t="s">
        <v>285</v>
      </c>
      <c r="C84" s="51" t="s">
        <v>286</v>
      </c>
      <c r="D84" s="35" t="s">
        <v>73</v>
      </c>
      <c r="E84" s="35">
        <v>800020495</v>
      </c>
      <c r="F84" s="36" t="s">
        <v>67</v>
      </c>
      <c r="G84" s="35" t="s">
        <v>48</v>
      </c>
      <c r="H84" s="51" t="s">
        <v>68</v>
      </c>
      <c r="I84" s="34" t="s">
        <v>105</v>
      </c>
      <c r="J84" s="52" t="s">
        <v>70</v>
      </c>
      <c r="K84" s="52" t="s">
        <v>60</v>
      </c>
      <c r="L84" s="51" t="s">
        <v>61</v>
      </c>
      <c r="M84" s="51" t="s">
        <v>117</v>
      </c>
      <c r="N84" s="36" t="s">
        <v>50</v>
      </c>
      <c r="O84" s="51"/>
      <c r="P84" s="51" t="s">
        <v>287</v>
      </c>
      <c r="Q84" s="37">
        <v>41487</v>
      </c>
      <c r="R84" s="37">
        <v>42094</v>
      </c>
      <c r="S84" s="35" t="s">
        <v>96</v>
      </c>
      <c r="T84" s="38">
        <f>+(((10*((1141850+1714473+2097122)/9)+1293526+1350713+4298671+300000+1350000+929210+16*(1022001/14)+750000+150000)*1.07)+18*190000)*1.23</f>
        <v>26703946.174447618</v>
      </c>
      <c r="U84" s="39"/>
      <c r="V84" s="131">
        <v>0</v>
      </c>
      <c r="W84" s="38">
        <v>0</v>
      </c>
      <c r="X84" s="38">
        <v>0</v>
      </c>
      <c r="Y84" s="132">
        <f>+T84*0.235*0.3</f>
        <v>1882628.2052985567</v>
      </c>
      <c r="Z84" s="38">
        <f>+T84-Y84-AA84</f>
        <v>23486120.66042668</v>
      </c>
      <c r="AA84" s="91">
        <f>+T84*0.05</f>
        <v>1335197.308722381</v>
      </c>
      <c r="AB84" s="91">
        <v>0</v>
      </c>
      <c r="AC84" s="91">
        <f>+AA84*0.1</f>
        <v>133519.73087223811</v>
      </c>
      <c r="AD84" s="91">
        <v>0</v>
      </c>
      <c r="AE84" s="91">
        <f>+AC84*1.15</f>
        <v>153547.69050307383</v>
      </c>
      <c r="AF84" s="91">
        <v>0</v>
      </c>
      <c r="AG84" s="204">
        <f>+AE84*1.15</f>
        <v>176579.84407853489</v>
      </c>
    </row>
    <row r="85" spans="1:33" s="103" customFormat="1" ht="90" customHeight="1">
      <c r="A85" s="102">
        <f t="shared" si="17"/>
        <v>64</v>
      </c>
      <c r="B85" s="52" t="s">
        <v>288</v>
      </c>
      <c r="C85" s="51" t="s">
        <v>289</v>
      </c>
      <c r="D85" s="35" t="s">
        <v>56</v>
      </c>
      <c r="E85" s="35">
        <v>800020578</v>
      </c>
      <c r="F85" s="36" t="s">
        <v>67</v>
      </c>
      <c r="G85" s="35" t="s">
        <v>48</v>
      </c>
      <c r="H85" s="51" t="s">
        <v>68</v>
      </c>
      <c r="I85" s="34" t="s">
        <v>90</v>
      </c>
      <c r="J85" s="52" t="s">
        <v>70</v>
      </c>
      <c r="K85" s="52" t="s">
        <v>60</v>
      </c>
      <c r="L85" s="51" t="s">
        <v>61</v>
      </c>
      <c r="M85" s="51" t="s">
        <v>5</v>
      </c>
      <c r="N85" s="36" t="s">
        <v>50</v>
      </c>
      <c r="O85" s="51"/>
      <c r="P85" s="51" t="s">
        <v>290</v>
      </c>
      <c r="Q85" s="37">
        <v>41487</v>
      </c>
      <c r="R85" s="37">
        <v>41912</v>
      </c>
      <c r="S85" s="35" t="s">
        <v>52</v>
      </c>
      <c r="T85" s="38">
        <f>181000000*1.185</f>
        <v>214485000</v>
      </c>
      <c r="U85" s="39"/>
      <c r="V85" s="131">
        <v>5000000</v>
      </c>
      <c r="W85" s="38">
        <v>0</v>
      </c>
      <c r="X85" s="38">
        <f>+T85*0.35+15500000</f>
        <v>90569750</v>
      </c>
      <c r="Y85" s="132">
        <f>+T85-X85-Z85</f>
        <v>111046150</v>
      </c>
      <c r="Z85" s="38">
        <f>+T85*0.06</f>
        <v>12869100</v>
      </c>
      <c r="AA85" s="91">
        <v>0</v>
      </c>
      <c r="AB85" s="91">
        <f>+T85*0.0075</f>
        <v>1608637.5</v>
      </c>
      <c r="AC85" s="91">
        <v>0</v>
      </c>
      <c r="AD85" s="91">
        <f>+AB85*1.15</f>
        <v>1849933.1249999998</v>
      </c>
      <c r="AE85" s="91">
        <v>0</v>
      </c>
      <c r="AF85" s="91">
        <f>+AD85*1.15</f>
        <v>2127423.0937499995</v>
      </c>
      <c r="AG85" s="204">
        <v>0</v>
      </c>
    </row>
    <row r="86" spans="1:33" s="103" customFormat="1" ht="90" customHeight="1">
      <c r="A86" s="102">
        <f t="shared" si="17"/>
        <v>65</v>
      </c>
      <c r="B86" s="52" t="s">
        <v>291</v>
      </c>
      <c r="C86" s="51" t="s">
        <v>292</v>
      </c>
      <c r="D86" s="35" t="s">
        <v>73</v>
      </c>
      <c r="E86" s="35">
        <v>800005223</v>
      </c>
      <c r="F86" s="36" t="s">
        <v>67</v>
      </c>
      <c r="G86" s="35" t="s">
        <v>48</v>
      </c>
      <c r="H86" s="51" t="s">
        <v>97</v>
      </c>
      <c r="I86" s="34" t="s">
        <v>293</v>
      </c>
      <c r="J86" s="52" t="s">
        <v>169</v>
      </c>
      <c r="K86" s="52" t="s">
        <v>60</v>
      </c>
      <c r="L86" s="51" t="s">
        <v>61</v>
      </c>
      <c r="M86" s="51" t="s">
        <v>117</v>
      </c>
      <c r="N86" s="36" t="s">
        <v>50</v>
      </c>
      <c r="O86" s="51"/>
      <c r="P86" s="51" t="s">
        <v>294</v>
      </c>
      <c r="Q86" s="37">
        <v>41487</v>
      </c>
      <c r="R86" s="37">
        <v>42004</v>
      </c>
      <c r="S86" s="35" t="s">
        <v>87</v>
      </c>
      <c r="T86" s="38">
        <v>20000000</v>
      </c>
      <c r="U86" s="39"/>
      <c r="V86" s="131">
        <v>0</v>
      </c>
      <c r="W86" s="38">
        <v>0</v>
      </c>
      <c r="X86" s="38">
        <v>935000</v>
      </c>
      <c r="Y86" s="132">
        <v>16823000</v>
      </c>
      <c r="Z86" s="38">
        <v>2242000</v>
      </c>
      <c r="AA86" s="91">
        <v>0</v>
      </c>
      <c r="AB86" s="91">
        <f>+T86*0.01</f>
        <v>200000</v>
      </c>
      <c r="AC86" s="91">
        <v>0</v>
      </c>
      <c r="AD86" s="91">
        <f>+AB86*1.15</f>
        <v>229999.99999999997</v>
      </c>
      <c r="AE86" s="91">
        <v>0</v>
      </c>
      <c r="AF86" s="91">
        <f>+AD86*1.15</f>
        <v>264499.99999999994</v>
      </c>
      <c r="AG86" s="204">
        <v>0</v>
      </c>
    </row>
    <row r="87" spans="1:33" s="103" customFormat="1" ht="90" customHeight="1">
      <c r="A87" s="102">
        <f t="shared" si="17"/>
        <v>66</v>
      </c>
      <c r="B87" s="52" t="s">
        <v>295</v>
      </c>
      <c r="C87" s="51" t="s">
        <v>296</v>
      </c>
      <c r="D87" s="35" t="s">
        <v>73</v>
      </c>
      <c r="E87" s="35">
        <v>800005876</v>
      </c>
      <c r="F87" s="36" t="s">
        <v>67</v>
      </c>
      <c r="G87" s="35" t="s">
        <v>48</v>
      </c>
      <c r="H87" s="51" t="s">
        <v>97</v>
      </c>
      <c r="I87" s="34" t="s">
        <v>297</v>
      </c>
      <c r="J87" s="52" t="s">
        <v>99</v>
      </c>
      <c r="K87" s="52"/>
      <c r="L87" s="51" t="s">
        <v>262</v>
      </c>
      <c r="M87" s="51" t="s">
        <v>298</v>
      </c>
      <c r="N87" s="36" t="s">
        <v>50</v>
      </c>
      <c r="O87" s="51"/>
      <c r="P87" s="51" t="s">
        <v>299</v>
      </c>
      <c r="Q87" s="37">
        <v>42095</v>
      </c>
      <c r="R87" s="37">
        <v>42460</v>
      </c>
      <c r="S87" s="35" t="s">
        <v>52</v>
      </c>
      <c r="T87" s="38">
        <v>15000000</v>
      </c>
      <c r="U87" s="39"/>
      <c r="V87" s="131" t="s">
        <v>300</v>
      </c>
      <c r="W87" s="38">
        <v>0</v>
      </c>
      <c r="X87" s="38">
        <f>+T87</f>
        <v>15000000</v>
      </c>
      <c r="Y87" s="38">
        <v>0</v>
      </c>
      <c r="Z87" s="38">
        <v>282460</v>
      </c>
      <c r="AA87" s="91">
        <v>0</v>
      </c>
      <c r="AB87" s="91">
        <f>+Z87*1.15</f>
        <v>324829</v>
      </c>
      <c r="AC87" s="91">
        <v>0</v>
      </c>
      <c r="AD87" s="91">
        <f>+AB87*1.15</f>
        <v>373553.35</v>
      </c>
      <c r="AE87" s="91">
        <v>0</v>
      </c>
      <c r="AF87" s="91">
        <f>+AD87*1.15</f>
        <v>429586.35249999992</v>
      </c>
      <c r="AG87" s="204">
        <v>0</v>
      </c>
    </row>
    <row r="88" spans="1:33" s="103" customFormat="1" ht="90" customHeight="1">
      <c r="A88" s="102">
        <f t="shared" ref="A88:A151" si="34">+A87+1</f>
        <v>67</v>
      </c>
      <c r="B88" s="52" t="s">
        <v>63</v>
      </c>
      <c r="C88" s="51" t="s">
        <v>301</v>
      </c>
      <c r="D88" s="35" t="s">
        <v>73</v>
      </c>
      <c r="E88" s="35">
        <v>800013961</v>
      </c>
      <c r="F88" s="36" t="s">
        <v>67</v>
      </c>
      <c r="G88" s="35" t="s">
        <v>48</v>
      </c>
      <c r="H88" s="51" t="s">
        <v>68</v>
      </c>
      <c r="I88" s="34" t="s">
        <v>69</v>
      </c>
      <c r="J88" s="52" t="s">
        <v>70</v>
      </c>
      <c r="K88" s="52" t="s">
        <v>60</v>
      </c>
      <c r="L88" s="51" t="s">
        <v>61</v>
      </c>
      <c r="M88" s="51" t="s">
        <v>117</v>
      </c>
      <c r="N88" s="36" t="s">
        <v>50</v>
      </c>
      <c r="O88" s="51" t="s">
        <v>127</v>
      </c>
      <c r="P88" s="51" t="s">
        <v>302</v>
      </c>
      <c r="Q88" s="37">
        <v>41791</v>
      </c>
      <c r="R88" s="37">
        <v>42094</v>
      </c>
      <c r="S88" s="35" t="s">
        <v>87</v>
      </c>
      <c r="T88" s="38">
        <v>20000000</v>
      </c>
      <c r="U88" s="39"/>
      <c r="V88" s="131">
        <v>0</v>
      </c>
      <c r="W88" s="38">
        <v>0</v>
      </c>
      <c r="X88" s="38">
        <f>+T88*0.09</f>
        <v>1800000</v>
      </c>
      <c r="Y88" s="132">
        <v>17200000</v>
      </c>
      <c r="Z88" s="38">
        <f>+T88*0.05</f>
        <v>1000000</v>
      </c>
      <c r="AA88" s="91"/>
      <c r="AB88" s="91">
        <f>+T88*0.01</f>
        <v>200000</v>
      </c>
      <c r="AC88" s="91">
        <f t="shared" ref="AC88:AF88" si="35">+AA88*1.15</f>
        <v>0</v>
      </c>
      <c r="AD88" s="91">
        <f t="shared" si="35"/>
        <v>229999.99999999997</v>
      </c>
      <c r="AE88" s="91">
        <f t="shared" si="35"/>
        <v>0</v>
      </c>
      <c r="AF88" s="91">
        <f t="shared" si="35"/>
        <v>264499.99999999994</v>
      </c>
      <c r="AG88" s="204">
        <v>0</v>
      </c>
    </row>
    <row r="89" spans="1:33" s="103" customFormat="1" ht="90" customHeight="1">
      <c r="A89" s="102">
        <f t="shared" si="34"/>
        <v>68</v>
      </c>
      <c r="B89" s="52" t="s">
        <v>303</v>
      </c>
      <c r="C89" s="51" t="s">
        <v>304</v>
      </c>
      <c r="D89" s="35" t="s">
        <v>65</v>
      </c>
      <c r="E89" s="35">
        <v>800013441</v>
      </c>
      <c r="F89" s="36" t="s">
        <v>67</v>
      </c>
      <c r="G89" s="35" t="s">
        <v>48</v>
      </c>
      <c r="H89" s="51" t="s">
        <v>97</v>
      </c>
      <c r="I89" s="34" t="s">
        <v>305</v>
      </c>
      <c r="J89" s="52" t="s">
        <v>147</v>
      </c>
      <c r="K89" s="52" t="s">
        <v>60</v>
      </c>
      <c r="L89" s="51" t="s">
        <v>61</v>
      </c>
      <c r="M89" s="51" t="s">
        <v>117</v>
      </c>
      <c r="N89" s="36" t="s">
        <v>50</v>
      </c>
      <c r="O89" s="51" t="s">
        <v>127</v>
      </c>
      <c r="P89" s="51" t="s">
        <v>306</v>
      </c>
      <c r="Q89" s="37">
        <v>41913</v>
      </c>
      <c r="R89" s="37">
        <v>42551</v>
      </c>
      <c r="S89" s="35" t="s">
        <v>87</v>
      </c>
      <c r="T89" s="38">
        <f>+(1823640+8*((1141850+1714473+2097122)/9)+1293526+1350713+929210+1350000)*1.23*1.07</f>
        <v>14674714.023566667</v>
      </c>
      <c r="U89" s="39"/>
      <c r="V89" s="131">
        <v>0</v>
      </c>
      <c r="W89" s="38">
        <v>0</v>
      </c>
      <c r="X89" s="38">
        <f>+T89*0.09</f>
        <v>1320724.2621210001</v>
      </c>
      <c r="Y89" s="132">
        <f>+T89-X89-Z89</f>
        <v>10978989.761445668</v>
      </c>
      <c r="Z89" s="38">
        <v>2375000</v>
      </c>
      <c r="AA89" s="91"/>
      <c r="AB89" s="91">
        <f>+T89*0.01</f>
        <v>146747.14023566668</v>
      </c>
      <c r="AC89" s="91">
        <v>0</v>
      </c>
      <c r="AD89" s="91">
        <f>+AB89*1.15</f>
        <v>168759.21127101668</v>
      </c>
      <c r="AE89" s="91">
        <v>0</v>
      </c>
      <c r="AF89" s="91">
        <f>+AD89*1.15</f>
        <v>194073.09296166917</v>
      </c>
      <c r="AG89" s="204">
        <v>0</v>
      </c>
    </row>
    <row r="90" spans="1:33" s="103" customFormat="1" ht="90" customHeight="1">
      <c r="A90" s="102">
        <f t="shared" si="34"/>
        <v>69</v>
      </c>
      <c r="B90" s="52" t="s">
        <v>307</v>
      </c>
      <c r="C90" s="51" t="s">
        <v>308</v>
      </c>
      <c r="D90" s="35" t="s">
        <v>73</v>
      </c>
      <c r="E90" s="35">
        <v>800034921</v>
      </c>
      <c r="F90" s="36" t="s">
        <v>67</v>
      </c>
      <c r="G90" s="35" t="s">
        <v>48</v>
      </c>
      <c r="H90" s="51" t="s">
        <v>74</v>
      </c>
      <c r="I90" s="34" t="s">
        <v>309</v>
      </c>
      <c r="J90" s="52" t="s">
        <v>75</v>
      </c>
      <c r="K90" s="52" t="s">
        <v>60</v>
      </c>
      <c r="L90" s="51" t="s">
        <v>49</v>
      </c>
      <c r="M90" s="51" t="s">
        <v>100</v>
      </c>
      <c r="N90" s="36" t="s">
        <v>50</v>
      </c>
      <c r="O90" s="51"/>
      <c r="P90" s="51" t="s">
        <v>310</v>
      </c>
      <c r="Q90" s="37">
        <v>41671</v>
      </c>
      <c r="R90" s="37">
        <v>42063</v>
      </c>
      <c r="S90" s="35" t="s">
        <v>52</v>
      </c>
      <c r="T90" s="38">
        <v>52597826</v>
      </c>
      <c r="U90" s="39"/>
      <c r="V90" s="131">
        <f>612000+3000000</f>
        <v>3612000</v>
      </c>
      <c r="W90" s="38">
        <v>34161000</v>
      </c>
      <c r="X90" s="38">
        <f>+T90-3041000-W90</f>
        <v>15395826</v>
      </c>
      <c r="Y90" s="38">
        <v>0</v>
      </c>
      <c r="Z90" s="38">
        <f>+T90*0.01</f>
        <v>525978.26</v>
      </c>
      <c r="AA90" s="91">
        <v>0</v>
      </c>
      <c r="AB90" s="91">
        <f>+Z90*1.15</f>
        <v>604874.99899999995</v>
      </c>
      <c r="AC90" s="91">
        <f t="shared" ref="AC90:AF90" si="36">+AA90*1.15</f>
        <v>0</v>
      </c>
      <c r="AD90" s="91">
        <f t="shared" si="36"/>
        <v>695606.24884999986</v>
      </c>
      <c r="AE90" s="91">
        <f t="shared" si="36"/>
        <v>0</v>
      </c>
      <c r="AF90" s="91">
        <f t="shared" si="36"/>
        <v>799947.18617749983</v>
      </c>
      <c r="AG90" s="204">
        <v>0</v>
      </c>
    </row>
    <row r="91" spans="1:33" s="103" customFormat="1" ht="90" customHeight="1">
      <c r="A91" s="102">
        <f t="shared" si="34"/>
        <v>70</v>
      </c>
      <c r="B91" s="52" t="s">
        <v>311</v>
      </c>
      <c r="C91" s="51" t="s">
        <v>312</v>
      </c>
      <c r="D91" s="35" t="s">
        <v>65</v>
      </c>
      <c r="E91" s="35">
        <v>8000034949</v>
      </c>
      <c r="F91" s="36" t="s">
        <v>67</v>
      </c>
      <c r="G91" s="35" t="s">
        <v>48</v>
      </c>
      <c r="H91" s="51" t="s">
        <v>74</v>
      </c>
      <c r="I91" s="34" t="s">
        <v>79</v>
      </c>
      <c r="J91" s="52" t="s">
        <v>75</v>
      </c>
      <c r="K91" s="52" t="s">
        <v>60</v>
      </c>
      <c r="L91" s="51" t="s">
        <v>49</v>
      </c>
      <c r="M91" s="51" t="s">
        <v>100</v>
      </c>
      <c r="N91" s="36" t="s">
        <v>50</v>
      </c>
      <c r="O91" s="51"/>
      <c r="P91" s="51" t="s">
        <v>313</v>
      </c>
      <c r="Q91" s="37">
        <v>41671</v>
      </c>
      <c r="R91" s="37">
        <v>42063</v>
      </c>
      <c r="S91" s="35" t="s">
        <v>52</v>
      </c>
      <c r="T91" s="38">
        <v>36091802</v>
      </c>
      <c r="U91" s="39"/>
      <c r="V91" s="131">
        <f>547000+3000000</f>
        <v>3547000</v>
      </c>
      <c r="W91" s="38">
        <v>25315351</v>
      </c>
      <c r="X91" s="38">
        <v>12259717</v>
      </c>
      <c r="Y91" s="38">
        <v>0</v>
      </c>
      <c r="Z91" s="38">
        <v>0</v>
      </c>
      <c r="AA91" s="91"/>
      <c r="AB91" s="91"/>
      <c r="AC91" s="91"/>
      <c r="AD91" s="91"/>
      <c r="AE91" s="91"/>
      <c r="AF91" s="91"/>
      <c r="AG91" s="204"/>
    </row>
    <row r="92" spans="1:33" s="103" customFormat="1" ht="90" customHeight="1">
      <c r="A92" s="102">
        <f t="shared" si="34"/>
        <v>71</v>
      </c>
      <c r="B92" s="52" t="s">
        <v>314</v>
      </c>
      <c r="C92" s="51" t="s">
        <v>315</v>
      </c>
      <c r="D92" s="35" t="s">
        <v>65</v>
      </c>
      <c r="E92" s="35">
        <v>800034979</v>
      </c>
      <c r="F92" s="36" t="s">
        <v>67</v>
      </c>
      <c r="G92" s="35" t="s">
        <v>48</v>
      </c>
      <c r="H92" s="51" t="s">
        <v>74</v>
      </c>
      <c r="I92" s="34" t="s">
        <v>194</v>
      </c>
      <c r="J92" s="52" t="s">
        <v>75</v>
      </c>
      <c r="K92" s="52" t="s">
        <v>60</v>
      </c>
      <c r="L92" s="51" t="s">
        <v>49</v>
      </c>
      <c r="M92" s="51" t="s">
        <v>100</v>
      </c>
      <c r="N92" s="36" t="s">
        <v>50</v>
      </c>
      <c r="O92" s="51"/>
      <c r="P92" s="51" t="s">
        <v>316</v>
      </c>
      <c r="Q92" s="37">
        <v>42461</v>
      </c>
      <c r="R92" s="37">
        <v>42916</v>
      </c>
      <c r="S92" s="35" t="s">
        <v>87</v>
      </c>
      <c r="T92" s="38">
        <v>15025620.720000001</v>
      </c>
      <c r="U92" s="39"/>
      <c r="V92" s="131">
        <v>0</v>
      </c>
      <c r="W92" s="38">
        <v>0</v>
      </c>
      <c r="X92" s="38">
        <f>+T92*0.05</f>
        <v>751281.03600000008</v>
      </c>
      <c r="Y92" s="132">
        <f>+T92-X92</f>
        <v>14274339.684</v>
      </c>
      <c r="Z92" s="38">
        <v>0</v>
      </c>
      <c r="AA92" s="91">
        <f>+T92*0.01</f>
        <v>150256.2072</v>
      </c>
      <c r="AB92" s="91"/>
      <c r="AC92" s="91">
        <f>+AA92*1.15</f>
        <v>172794.63827999998</v>
      </c>
      <c r="AD92" s="91"/>
      <c r="AE92" s="91">
        <f>+AC92*1.15</f>
        <v>198713.83402199997</v>
      </c>
      <c r="AF92" s="91"/>
      <c r="AG92" s="204">
        <f>+AE92*1.15</f>
        <v>228520.90912529995</v>
      </c>
    </row>
    <row r="93" spans="1:33" s="103" customFormat="1" ht="90" customHeight="1">
      <c r="A93" s="102">
        <f t="shared" si="34"/>
        <v>72</v>
      </c>
      <c r="B93" s="52"/>
      <c r="C93" s="51" t="s">
        <v>317</v>
      </c>
      <c r="D93" s="35" t="s">
        <v>65</v>
      </c>
      <c r="E93" s="35">
        <v>800022996</v>
      </c>
      <c r="F93" s="36" t="s">
        <v>67</v>
      </c>
      <c r="G93" s="35" t="s">
        <v>48</v>
      </c>
      <c r="H93" s="51" t="s">
        <v>57</v>
      </c>
      <c r="I93" s="34" t="s">
        <v>234</v>
      </c>
      <c r="J93" s="52" t="s">
        <v>59</v>
      </c>
      <c r="K93" s="52" t="s">
        <v>60</v>
      </c>
      <c r="L93" s="51" t="s">
        <v>61</v>
      </c>
      <c r="M93" s="51" t="s">
        <v>117</v>
      </c>
      <c r="N93" s="36" t="s">
        <v>50</v>
      </c>
      <c r="O93" s="51"/>
      <c r="P93" s="51" t="s">
        <v>318</v>
      </c>
      <c r="Q93" s="37">
        <v>41730</v>
      </c>
      <c r="R93" s="37">
        <v>42093</v>
      </c>
      <c r="S93" s="35" t="s">
        <v>52</v>
      </c>
      <c r="T93" s="38">
        <f>+(1141850)*1.23*1.07</f>
        <v>1502788.7850000001</v>
      </c>
      <c r="U93" s="39"/>
      <c r="V93" s="131">
        <v>0</v>
      </c>
      <c r="W93" s="38">
        <v>0</v>
      </c>
      <c r="X93" s="38">
        <f>+T93</f>
        <v>1502788.7850000001</v>
      </c>
      <c r="Y93" s="38">
        <v>0</v>
      </c>
      <c r="Z93" s="38">
        <v>0</v>
      </c>
      <c r="AA93" s="91">
        <v>0</v>
      </c>
      <c r="AB93" s="91">
        <v>0</v>
      </c>
      <c r="AC93" s="91">
        <v>0</v>
      </c>
      <c r="AD93" s="91">
        <v>0</v>
      </c>
      <c r="AE93" s="91">
        <v>0</v>
      </c>
      <c r="AF93" s="91">
        <v>0</v>
      </c>
      <c r="AG93" s="204">
        <v>0</v>
      </c>
    </row>
    <row r="94" spans="1:33" s="103" customFormat="1" ht="90" customHeight="1">
      <c r="A94" s="102">
        <f t="shared" si="34"/>
        <v>73</v>
      </c>
      <c r="B94" s="52" t="s">
        <v>321</v>
      </c>
      <c r="C94" s="51" t="s">
        <v>322</v>
      </c>
      <c r="D94" s="35" t="s">
        <v>65</v>
      </c>
      <c r="E94" s="35">
        <v>800020685</v>
      </c>
      <c r="F94" s="36" t="s">
        <v>67</v>
      </c>
      <c r="G94" s="35" t="s">
        <v>48</v>
      </c>
      <c r="H94" s="51" t="s">
        <v>97</v>
      </c>
      <c r="I94" s="34" t="s">
        <v>323</v>
      </c>
      <c r="J94" s="52" t="s">
        <v>169</v>
      </c>
      <c r="K94" s="52" t="s">
        <v>60</v>
      </c>
      <c r="L94" s="51" t="s">
        <v>49</v>
      </c>
      <c r="M94" s="51" t="s">
        <v>100</v>
      </c>
      <c r="N94" s="36" t="s">
        <v>50</v>
      </c>
      <c r="O94" s="51"/>
      <c r="P94" s="51" t="s">
        <v>324</v>
      </c>
      <c r="Q94" s="37">
        <v>42461</v>
      </c>
      <c r="R94" s="37">
        <v>42916</v>
      </c>
      <c r="S94" s="35" t="s">
        <v>87</v>
      </c>
      <c r="T94" s="38">
        <f>+(10*((1141850+1714473+2097122)/9)+3658606+1350713+929210+1293526+300000+1050000+150000+5*190000)*1.23*1.07</f>
        <v>19986140.323833335</v>
      </c>
      <c r="U94" s="39"/>
      <c r="V94" s="131">
        <v>0</v>
      </c>
      <c r="W94" s="38">
        <v>0</v>
      </c>
      <c r="X94" s="38">
        <v>1649400</v>
      </c>
      <c r="Y94" s="132">
        <f>+T94-X94-Z94</f>
        <v>17137571.904403336</v>
      </c>
      <c r="Z94" s="38">
        <f>+T94*0.06</f>
        <v>1199168.41943</v>
      </c>
      <c r="AA94" s="91">
        <v>0</v>
      </c>
      <c r="AB94" s="91">
        <f>+T94*0.01</f>
        <v>199861.40323833335</v>
      </c>
      <c r="AC94" s="91">
        <v>0</v>
      </c>
      <c r="AD94" s="91">
        <f>+AB94*1.15</f>
        <v>229840.61372408335</v>
      </c>
      <c r="AE94" s="91">
        <v>0</v>
      </c>
      <c r="AF94" s="91">
        <f>+AD94*1.15</f>
        <v>264316.70578269585</v>
      </c>
      <c r="AG94" s="204">
        <v>0</v>
      </c>
    </row>
    <row r="95" spans="1:33" s="103" customFormat="1" ht="90" customHeight="1">
      <c r="A95" s="102">
        <f t="shared" si="34"/>
        <v>74</v>
      </c>
      <c r="B95" s="52" t="s">
        <v>325</v>
      </c>
      <c r="C95" s="51" t="s">
        <v>326</v>
      </c>
      <c r="D95" s="35" t="s">
        <v>65</v>
      </c>
      <c r="E95" s="35">
        <v>800022780</v>
      </c>
      <c r="F95" s="36" t="s">
        <v>67</v>
      </c>
      <c r="G95" s="35" t="s">
        <v>48</v>
      </c>
      <c r="H95" s="51" t="s">
        <v>68</v>
      </c>
      <c r="I95" s="34" t="s">
        <v>327</v>
      </c>
      <c r="J95" s="52" t="s">
        <v>84</v>
      </c>
      <c r="K95" s="52"/>
      <c r="L95" s="51" t="s">
        <v>61</v>
      </c>
      <c r="M95" s="51" t="s">
        <v>117</v>
      </c>
      <c r="N95" s="36" t="s">
        <v>50</v>
      </c>
      <c r="O95" s="51"/>
      <c r="P95" s="51" t="s">
        <v>328</v>
      </c>
      <c r="Q95" s="37">
        <v>41764</v>
      </c>
      <c r="R95" s="37">
        <v>41732</v>
      </c>
      <c r="S95" s="35" t="s">
        <v>52</v>
      </c>
      <c r="T95" s="38">
        <f>20844900*1.185</f>
        <v>24701206.5</v>
      </c>
      <c r="U95" s="39"/>
      <c r="V95" s="131">
        <v>0</v>
      </c>
      <c r="W95" s="38">
        <v>6000000</v>
      </c>
      <c r="X95" s="38">
        <v>0</v>
      </c>
      <c r="Y95" s="38">
        <v>0</v>
      </c>
      <c r="Z95" s="38">
        <f>+T95*0.01</f>
        <v>247012.065</v>
      </c>
      <c r="AA95" s="91">
        <v>0</v>
      </c>
      <c r="AB95" s="91">
        <f>+Z95*1.15</f>
        <v>284063.87474999996</v>
      </c>
      <c r="AC95" s="91">
        <v>0</v>
      </c>
      <c r="AD95" s="91">
        <f>+AB95*1.15</f>
        <v>326673.45596249995</v>
      </c>
      <c r="AE95" s="91">
        <v>0</v>
      </c>
      <c r="AF95" s="91">
        <f>+AD95*1.15</f>
        <v>375674.47435687494</v>
      </c>
      <c r="AG95" s="204">
        <v>0</v>
      </c>
    </row>
    <row r="96" spans="1:33" s="103" customFormat="1" ht="90" customHeight="1">
      <c r="A96" s="102">
        <f t="shared" si="34"/>
        <v>75</v>
      </c>
      <c r="B96" s="52" t="s">
        <v>329</v>
      </c>
      <c r="C96" s="51" t="s">
        <v>330</v>
      </c>
      <c r="D96" s="35" t="s">
        <v>331</v>
      </c>
      <c r="E96" s="35">
        <v>800022830</v>
      </c>
      <c r="F96" s="36" t="s">
        <v>67</v>
      </c>
      <c r="G96" s="35" t="s">
        <v>48</v>
      </c>
      <c r="H96" s="51" t="s">
        <v>97</v>
      </c>
      <c r="I96" s="34" t="s">
        <v>323</v>
      </c>
      <c r="J96" s="52" t="s">
        <v>169</v>
      </c>
      <c r="K96" s="52" t="s">
        <v>60</v>
      </c>
      <c r="L96" s="51" t="s">
        <v>49</v>
      </c>
      <c r="M96" s="51" t="s">
        <v>100</v>
      </c>
      <c r="N96" s="36" t="s">
        <v>50</v>
      </c>
      <c r="O96" s="51"/>
      <c r="P96" s="51" t="s">
        <v>332</v>
      </c>
      <c r="Q96" s="37">
        <v>42461</v>
      </c>
      <c r="R96" s="37">
        <v>42766</v>
      </c>
      <c r="S96" s="35" t="s">
        <v>87</v>
      </c>
      <c r="T96" s="38">
        <f>+(2*190000+3*25000+10*2500+(1714473+3658606+929210+1293526+1350713+300000+10*1022001/14+750000+150000)*1.07)*1.23</f>
        <v>14904999.440871429</v>
      </c>
      <c r="U96" s="39"/>
      <c r="V96" s="131">
        <v>0</v>
      </c>
      <c r="W96" s="38">
        <v>0</v>
      </c>
      <c r="X96" s="38">
        <f>+T96*0.235*0.3</f>
        <v>1050802.4605814356</v>
      </c>
      <c r="Y96" s="132">
        <f>+T96-X96-Z96</f>
        <v>12959897.013837708</v>
      </c>
      <c r="Z96" s="38">
        <f>+T96*0.06</f>
        <v>894299.96645228565</v>
      </c>
      <c r="AA96" s="91">
        <v>0</v>
      </c>
      <c r="AB96" s="91">
        <f>+Z96*1.15</f>
        <v>1028444.9614201285</v>
      </c>
      <c r="AC96" s="91">
        <f>+AA96*1.15</f>
        <v>0</v>
      </c>
      <c r="AD96" s="91">
        <f t="shared" ref="AD96:AF96" si="37">+AB96*1.15</f>
        <v>1182711.7056331476</v>
      </c>
      <c r="AE96" s="91">
        <f t="shared" si="37"/>
        <v>0</v>
      </c>
      <c r="AF96" s="91">
        <f t="shared" si="37"/>
        <v>1360118.4614781197</v>
      </c>
      <c r="AG96" s="204">
        <f>+AE96*1.15</f>
        <v>0</v>
      </c>
    </row>
    <row r="97" spans="1:33" s="103" customFormat="1" ht="90" customHeight="1">
      <c r="A97" s="102">
        <f t="shared" si="34"/>
        <v>76</v>
      </c>
      <c r="B97" s="52" t="s">
        <v>333</v>
      </c>
      <c r="C97" s="51" t="s">
        <v>334</v>
      </c>
      <c r="D97" s="35" t="s">
        <v>65</v>
      </c>
      <c r="E97" s="35">
        <v>800035047</v>
      </c>
      <c r="F97" s="36" t="s">
        <v>67</v>
      </c>
      <c r="G97" s="35" t="s">
        <v>48</v>
      </c>
      <c r="H97" s="51" t="s">
        <v>74</v>
      </c>
      <c r="I97" s="34" t="s">
        <v>228</v>
      </c>
      <c r="J97" s="52" t="s">
        <v>75</v>
      </c>
      <c r="K97" s="52" t="s">
        <v>60</v>
      </c>
      <c r="L97" s="51" t="s">
        <v>61</v>
      </c>
      <c r="M97" s="51" t="s">
        <v>117</v>
      </c>
      <c r="N97" s="36" t="s">
        <v>50</v>
      </c>
      <c r="O97" s="51"/>
      <c r="P97" s="51" t="s">
        <v>335</v>
      </c>
      <c r="Q97" s="37">
        <v>41791</v>
      </c>
      <c r="R97" s="37" t="s">
        <v>336</v>
      </c>
      <c r="S97" s="35" t="s">
        <v>52</v>
      </c>
      <c r="T97" s="38">
        <v>18905782.18</v>
      </c>
      <c r="U97" s="39"/>
      <c r="V97" s="131">
        <v>0</v>
      </c>
      <c r="W97" s="38">
        <v>5000000</v>
      </c>
      <c r="X97" s="38">
        <f>+T97-W97</f>
        <v>13905782.18</v>
      </c>
      <c r="Y97" s="38">
        <f>+T97*0.06</f>
        <v>1134346.9308</v>
      </c>
      <c r="Z97" s="38">
        <v>0</v>
      </c>
      <c r="AA97" s="91">
        <f>+T97*0.01/1.23</f>
        <v>153705.54617886178</v>
      </c>
      <c r="AB97" s="91">
        <v>0</v>
      </c>
      <c r="AC97" s="91">
        <f>+AA97*1.15</f>
        <v>176761.37810569102</v>
      </c>
      <c r="AD97" s="91">
        <v>0</v>
      </c>
      <c r="AE97" s="91">
        <f>+AC97*1.15</f>
        <v>203275.58482154467</v>
      </c>
      <c r="AF97" s="91">
        <v>0</v>
      </c>
      <c r="AG97" s="204">
        <f>+AE97*1.15</f>
        <v>233766.92254477635</v>
      </c>
    </row>
    <row r="98" spans="1:33" s="103" customFormat="1" ht="90" customHeight="1">
      <c r="A98" s="102">
        <f t="shared" si="34"/>
        <v>77</v>
      </c>
      <c r="B98" s="52"/>
      <c r="C98" s="51" t="s">
        <v>337</v>
      </c>
      <c r="D98" s="35" t="s">
        <v>338</v>
      </c>
      <c r="E98" s="35" t="s">
        <v>339</v>
      </c>
      <c r="F98" s="36" t="s">
        <v>67</v>
      </c>
      <c r="G98" s="35" t="s">
        <v>48</v>
      </c>
      <c r="H98" s="51" t="s">
        <v>68</v>
      </c>
      <c r="I98" s="34" t="s">
        <v>68</v>
      </c>
      <c r="J98" s="52" t="s">
        <v>84</v>
      </c>
      <c r="K98" s="52"/>
      <c r="L98" s="51" t="s">
        <v>172</v>
      </c>
      <c r="M98" s="51" t="s">
        <v>176</v>
      </c>
      <c r="N98" s="36" t="s">
        <v>50</v>
      </c>
      <c r="O98" s="51"/>
      <c r="P98" s="51" t="s">
        <v>340</v>
      </c>
      <c r="Q98" s="37">
        <v>41791</v>
      </c>
      <c r="R98" s="37">
        <v>42094</v>
      </c>
      <c r="S98" s="35" t="s">
        <v>52</v>
      </c>
      <c r="T98" s="38">
        <f>1810000*4</f>
        <v>7240000</v>
      </c>
      <c r="U98" s="39"/>
      <c r="V98" s="131">
        <v>0</v>
      </c>
      <c r="W98" s="38">
        <f>+T98</f>
        <v>7240000</v>
      </c>
      <c r="X98" s="38">
        <v>0</v>
      </c>
      <c r="Y98" s="38">
        <v>0</v>
      </c>
      <c r="Z98" s="38">
        <f>+T98*0.01*4</f>
        <v>289600</v>
      </c>
      <c r="AA98" s="91">
        <v>0</v>
      </c>
      <c r="AB98" s="91">
        <f>+Z98*1.15</f>
        <v>333040</v>
      </c>
      <c r="AC98" s="91">
        <v>0</v>
      </c>
      <c r="AD98" s="91">
        <f>+AB98*1.15</f>
        <v>382995.99999999994</v>
      </c>
      <c r="AE98" s="91">
        <v>0</v>
      </c>
      <c r="AF98" s="91">
        <f>+AD98*1.15</f>
        <v>440445.39999999991</v>
      </c>
      <c r="AG98" s="204">
        <v>0</v>
      </c>
    </row>
    <row r="99" spans="1:33" s="103" customFormat="1" ht="90" customHeight="1">
      <c r="A99" s="102">
        <f t="shared" si="34"/>
        <v>78</v>
      </c>
      <c r="B99" s="52" t="s">
        <v>341</v>
      </c>
      <c r="C99" s="51" t="s">
        <v>342</v>
      </c>
      <c r="D99" s="35" t="s">
        <v>65</v>
      </c>
      <c r="E99" s="35" t="s">
        <v>66</v>
      </c>
      <c r="F99" s="36" t="s">
        <v>67</v>
      </c>
      <c r="G99" s="35" t="s">
        <v>48</v>
      </c>
      <c r="H99" s="51" t="s">
        <v>97</v>
      </c>
      <c r="I99" s="34" t="s">
        <v>98</v>
      </c>
      <c r="J99" s="52" t="s">
        <v>99</v>
      </c>
      <c r="K99" s="52"/>
      <c r="L99" s="51" t="s">
        <v>49</v>
      </c>
      <c r="M99" s="51" t="s">
        <v>2</v>
      </c>
      <c r="N99" s="36" t="s">
        <v>50</v>
      </c>
      <c r="O99" s="51"/>
      <c r="P99" s="51" t="s">
        <v>343</v>
      </c>
      <c r="Q99" s="37">
        <v>42125</v>
      </c>
      <c r="R99" s="37">
        <v>42825</v>
      </c>
      <c r="S99" s="35" t="s">
        <v>52</v>
      </c>
      <c r="T99" s="38">
        <v>42000000</v>
      </c>
      <c r="U99" s="39"/>
      <c r="V99" s="131"/>
      <c r="W99" s="38">
        <v>0</v>
      </c>
      <c r="X99" s="38">
        <f>1200000+30065000</f>
        <v>31265000</v>
      </c>
      <c r="Y99" s="132">
        <f>+T99-W99-X99</f>
        <v>10735000</v>
      </c>
      <c r="Z99" s="38">
        <v>0</v>
      </c>
      <c r="AA99" s="91">
        <f>+T99*0.01</f>
        <v>420000</v>
      </c>
      <c r="AB99" s="91"/>
      <c r="AC99" s="91">
        <f>+AA99*1.15</f>
        <v>482999.99999999994</v>
      </c>
      <c r="AD99" s="91"/>
      <c r="AE99" s="91">
        <f>+AC99*1.15</f>
        <v>555449.99999999988</v>
      </c>
      <c r="AF99" s="91"/>
      <c r="AG99" s="204">
        <f>+AE99*1.15</f>
        <v>638767.49999999977</v>
      </c>
    </row>
    <row r="100" spans="1:33" s="103" customFormat="1" ht="90" customHeight="1">
      <c r="A100" s="102">
        <f t="shared" si="34"/>
        <v>79</v>
      </c>
      <c r="B100" s="52" t="s">
        <v>344</v>
      </c>
      <c r="C100" s="51" t="s">
        <v>345</v>
      </c>
      <c r="D100" s="35" t="s">
        <v>65</v>
      </c>
      <c r="E100" s="35" t="s">
        <v>66</v>
      </c>
      <c r="F100" s="36" t="s">
        <v>67</v>
      </c>
      <c r="G100" s="35" t="s">
        <v>48</v>
      </c>
      <c r="H100" s="51" t="s">
        <v>68</v>
      </c>
      <c r="I100" s="34" t="s">
        <v>327</v>
      </c>
      <c r="J100" s="52" t="s">
        <v>84</v>
      </c>
      <c r="K100" s="52"/>
      <c r="L100" s="51" t="s">
        <v>49</v>
      </c>
      <c r="M100" s="51" t="s">
        <v>2</v>
      </c>
      <c r="N100" s="36" t="s">
        <v>50</v>
      </c>
      <c r="O100" s="51"/>
      <c r="P100" s="51" t="s">
        <v>346</v>
      </c>
      <c r="Q100" s="37">
        <v>41730</v>
      </c>
      <c r="R100" s="37">
        <v>42460</v>
      </c>
      <c r="S100" s="35" t="s">
        <v>52</v>
      </c>
      <c r="T100" s="38">
        <v>42000000</v>
      </c>
      <c r="U100" s="39"/>
      <c r="V100" s="131"/>
      <c r="W100" s="38">
        <v>0</v>
      </c>
      <c r="X100" s="38">
        <f>1200000+34600000</f>
        <v>35800000</v>
      </c>
      <c r="Y100" s="132">
        <f>+T100-W100-X100</f>
        <v>6200000</v>
      </c>
      <c r="Z100" s="38">
        <v>0</v>
      </c>
      <c r="AA100" s="91">
        <f>+T100*0.01</f>
        <v>420000</v>
      </c>
      <c r="AB100" s="91">
        <v>0</v>
      </c>
      <c r="AC100" s="91">
        <f>+AA100*1.15</f>
        <v>482999.99999999994</v>
      </c>
      <c r="AD100" s="91">
        <v>0</v>
      </c>
      <c r="AE100" s="91">
        <f>+AC100*1.15</f>
        <v>555449.99999999988</v>
      </c>
      <c r="AF100" s="91">
        <v>0</v>
      </c>
      <c r="AG100" s="204">
        <f>+AE100*1.15</f>
        <v>638767.49999999977</v>
      </c>
    </row>
    <row r="101" spans="1:33" s="103" customFormat="1" ht="90" customHeight="1">
      <c r="A101" s="102">
        <f t="shared" si="34"/>
        <v>80</v>
      </c>
      <c r="B101" s="52" t="s">
        <v>347</v>
      </c>
      <c r="C101" s="51" t="s">
        <v>348</v>
      </c>
      <c r="D101" s="35" t="s">
        <v>65</v>
      </c>
      <c r="E101" s="35" t="s">
        <v>66</v>
      </c>
      <c r="F101" s="36" t="s">
        <v>67</v>
      </c>
      <c r="G101" s="35" t="s">
        <v>48</v>
      </c>
      <c r="H101" s="51" t="s">
        <v>68</v>
      </c>
      <c r="I101" s="34" t="s">
        <v>219</v>
      </c>
      <c r="J101" s="52" t="s">
        <v>84</v>
      </c>
      <c r="K101" s="52"/>
      <c r="L101" s="51" t="s">
        <v>49</v>
      </c>
      <c r="M101" s="51" t="s">
        <v>2</v>
      </c>
      <c r="N101" s="36" t="s">
        <v>50</v>
      </c>
      <c r="O101" s="51"/>
      <c r="P101" s="51" t="s">
        <v>349</v>
      </c>
      <c r="Q101" s="37">
        <v>42095</v>
      </c>
      <c r="R101" s="37">
        <v>42735</v>
      </c>
      <c r="S101" s="35" t="s">
        <v>96</v>
      </c>
      <c r="T101" s="38">
        <v>30000000</v>
      </c>
      <c r="U101" s="39"/>
      <c r="V101" s="131"/>
      <c r="W101" s="38">
        <v>0</v>
      </c>
      <c r="X101" s="38"/>
      <c r="Y101" s="132">
        <v>1500000</v>
      </c>
      <c r="Z101" s="38">
        <v>28500000</v>
      </c>
      <c r="AA101" s="91">
        <v>0</v>
      </c>
      <c r="AB101" s="91"/>
      <c r="AC101" s="91"/>
      <c r="AD101" s="91"/>
      <c r="AE101" s="91"/>
      <c r="AF101" s="91"/>
      <c r="AG101" s="204"/>
    </row>
    <row r="102" spans="1:33" s="103" customFormat="1" ht="90" customHeight="1">
      <c r="A102" s="102">
        <f t="shared" si="34"/>
        <v>81</v>
      </c>
      <c r="B102" s="52" t="s">
        <v>350</v>
      </c>
      <c r="C102" s="51" t="s">
        <v>351</v>
      </c>
      <c r="D102" s="35" t="s">
        <v>65</v>
      </c>
      <c r="E102" s="35">
        <v>800000489</v>
      </c>
      <c r="F102" s="36" t="s">
        <v>67</v>
      </c>
      <c r="G102" s="35" t="s">
        <v>48</v>
      </c>
      <c r="H102" s="51" t="s">
        <v>57</v>
      </c>
      <c r="I102" s="34" t="s">
        <v>351</v>
      </c>
      <c r="J102" s="52" t="s">
        <v>352</v>
      </c>
      <c r="K102" s="52" t="s">
        <v>60</v>
      </c>
      <c r="L102" s="51" t="s">
        <v>61</v>
      </c>
      <c r="M102" s="51" t="s">
        <v>117</v>
      </c>
      <c r="N102" s="36" t="s">
        <v>50</v>
      </c>
      <c r="O102" s="51"/>
      <c r="P102" s="51" t="s">
        <v>353</v>
      </c>
      <c r="Q102" s="37">
        <v>42461</v>
      </c>
      <c r="R102" s="37">
        <v>43100</v>
      </c>
      <c r="S102" s="35" t="s">
        <v>96</v>
      </c>
      <c r="T102" s="38">
        <v>22000000</v>
      </c>
      <c r="U102" s="39"/>
      <c r="V102" s="131"/>
      <c r="W102" s="38">
        <v>0</v>
      </c>
      <c r="X102" s="38">
        <v>0</v>
      </c>
      <c r="Y102" s="132">
        <v>600000</v>
      </c>
      <c r="Z102" s="38">
        <v>21400000</v>
      </c>
      <c r="AA102" s="91">
        <v>0</v>
      </c>
      <c r="AB102" s="91">
        <f>+T102*0.01</f>
        <v>220000</v>
      </c>
      <c r="AC102" s="91">
        <v>0</v>
      </c>
      <c r="AD102" s="91">
        <f>+AB102*1.15</f>
        <v>252999.99999999997</v>
      </c>
      <c r="AE102" s="91">
        <v>0</v>
      </c>
      <c r="AF102" s="91">
        <f>+AD102*1.15</f>
        <v>290949.99999999994</v>
      </c>
      <c r="AG102" s="204">
        <v>0</v>
      </c>
    </row>
    <row r="103" spans="1:33" s="103" customFormat="1" ht="90" customHeight="1">
      <c r="A103" s="102">
        <f t="shared" si="34"/>
        <v>82</v>
      </c>
      <c r="B103" s="52" t="s">
        <v>355</v>
      </c>
      <c r="C103" s="51" t="s">
        <v>356</v>
      </c>
      <c r="D103" s="35" t="s">
        <v>65</v>
      </c>
      <c r="E103" s="35">
        <v>800001743</v>
      </c>
      <c r="F103" s="36" t="s">
        <v>67</v>
      </c>
      <c r="G103" s="35" t="s">
        <v>48</v>
      </c>
      <c r="H103" s="51" t="s">
        <v>68</v>
      </c>
      <c r="I103" s="34" t="s">
        <v>90</v>
      </c>
      <c r="J103" s="52" t="s">
        <v>70</v>
      </c>
      <c r="K103" s="52" t="s">
        <v>60</v>
      </c>
      <c r="L103" s="51" t="s">
        <v>262</v>
      </c>
      <c r="M103" s="51" t="s">
        <v>298</v>
      </c>
      <c r="N103" s="36" t="s">
        <v>50</v>
      </c>
      <c r="O103" s="51"/>
      <c r="P103" s="51" t="s">
        <v>357</v>
      </c>
      <c r="Q103" s="37">
        <v>42461</v>
      </c>
      <c r="R103" s="37">
        <v>42825</v>
      </c>
      <c r="S103" s="35" t="s">
        <v>87</v>
      </c>
      <c r="T103" s="38">
        <v>18000000</v>
      </c>
      <c r="U103" s="39"/>
      <c r="V103" s="131"/>
      <c r="W103" s="38">
        <v>0</v>
      </c>
      <c r="X103" s="38">
        <v>900000</v>
      </c>
      <c r="Y103" s="132">
        <v>17100000</v>
      </c>
      <c r="Z103" s="38">
        <v>0</v>
      </c>
      <c r="AA103" s="91">
        <v>0</v>
      </c>
      <c r="AB103" s="91">
        <v>0</v>
      </c>
      <c r="AC103" s="91">
        <v>0</v>
      </c>
      <c r="AD103" s="91">
        <v>0</v>
      </c>
      <c r="AE103" s="91">
        <v>0</v>
      </c>
      <c r="AF103" s="91">
        <v>0</v>
      </c>
      <c r="AG103" s="204">
        <v>0</v>
      </c>
    </row>
    <row r="104" spans="1:33" s="103" customFormat="1" ht="90" customHeight="1">
      <c r="A104" s="102">
        <f t="shared" si="34"/>
        <v>83</v>
      </c>
      <c r="B104" s="52" t="s">
        <v>358</v>
      </c>
      <c r="C104" s="51" t="s">
        <v>359</v>
      </c>
      <c r="D104" s="35" t="s">
        <v>96</v>
      </c>
      <c r="E104" s="35">
        <v>800002089</v>
      </c>
      <c r="F104" s="36" t="s">
        <v>67</v>
      </c>
      <c r="G104" s="35" t="s">
        <v>48</v>
      </c>
      <c r="H104" s="51" t="s">
        <v>68</v>
      </c>
      <c r="I104" s="34" t="s">
        <v>105</v>
      </c>
      <c r="J104" s="52" t="s">
        <v>70</v>
      </c>
      <c r="K104" s="52" t="s">
        <v>60</v>
      </c>
      <c r="L104" s="51" t="s">
        <v>61</v>
      </c>
      <c r="M104" s="51" t="s">
        <v>117</v>
      </c>
      <c r="N104" s="36" t="s">
        <v>50</v>
      </c>
      <c r="O104" s="51"/>
      <c r="P104" s="51" t="s">
        <v>360</v>
      </c>
      <c r="Q104" s="37">
        <v>42461</v>
      </c>
      <c r="R104" s="37">
        <v>43100</v>
      </c>
      <c r="S104" s="35" t="s">
        <v>96</v>
      </c>
      <c r="T104" s="38">
        <v>23000000</v>
      </c>
      <c r="U104" s="39"/>
      <c r="V104" s="131"/>
      <c r="W104" s="38">
        <v>0</v>
      </c>
      <c r="X104" s="38">
        <v>0</v>
      </c>
      <c r="Y104" s="132">
        <v>1150000</v>
      </c>
      <c r="Z104" s="38">
        <v>21850000</v>
      </c>
      <c r="AA104" s="91">
        <v>0</v>
      </c>
      <c r="AB104" s="91">
        <f>+T104*0.01</f>
        <v>230000</v>
      </c>
      <c r="AC104" s="91">
        <v>0</v>
      </c>
      <c r="AD104" s="91">
        <f>+AB104*1.15</f>
        <v>264500</v>
      </c>
      <c r="AE104" s="91">
        <v>0</v>
      </c>
      <c r="AF104" s="91">
        <f>+AD104*1.15</f>
        <v>304175</v>
      </c>
      <c r="AG104" s="204">
        <v>0</v>
      </c>
    </row>
    <row r="105" spans="1:33" s="103" customFormat="1" ht="90" customHeight="1">
      <c r="A105" s="102">
        <f t="shared" si="34"/>
        <v>84</v>
      </c>
      <c r="B105" s="52" t="s">
        <v>361</v>
      </c>
      <c r="C105" s="51" t="s">
        <v>362</v>
      </c>
      <c r="D105" s="35" t="s">
        <v>65</v>
      </c>
      <c r="E105" s="35">
        <v>800002964</v>
      </c>
      <c r="F105" s="36" t="s">
        <v>67</v>
      </c>
      <c r="G105" s="35" t="s">
        <v>48</v>
      </c>
      <c r="H105" s="51" t="s">
        <v>97</v>
      </c>
      <c r="I105" s="34" t="s">
        <v>163</v>
      </c>
      <c r="J105" s="52" t="s">
        <v>164</v>
      </c>
      <c r="K105" s="52"/>
      <c r="L105" s="51" t="s">
        <v>61</v>
      </c>
      <c r="M105" s="51" t="s">
        <v>117</v>
      </c>
      <c r="N105" s="36" t="s">
        <v>50</v>
      </c>
      <c r="O105" s="51"/>
      <c r="P105" s="51" t="s">
        <v>363</v>
      </c>
      <c r="Q105" s="37">
        <v>42461</v>
      </c>
      <c r="R105" s="37">
        <v>42825</v>
      </c>
      <c r="S105" s="35" t="s">
        <v>96</v>
      </c>
      <c r="T105" s="38">
        <f>+(14*((1141850+1714473+2097122)/9)+3658606+1350713+929210+1293526+22*1022001/14+300000+1050000+150000+9*190000+12*10000)*1.23*1.07</f>
        <v>26155402.087323807</v>
      </c>
      <c r="U105" s="39"/>
      <c r="V105" s="131"/>
      <c r="W105" s="38">
        <v>0</v>
      </c>
      <c r="X105" s="38">
        <v>0</v>
      </c>
      <c r="Y105" s="132">
        <f>+T105*0.235*0.3</f>
        <v>1843955.8471563284</v>
      </c>
      <c r="Z105" s="38">
        <f>+T105-Y105-AA105</f>
        <v>22742122.114928052</v>
      </c>
      <c r="AA105" s="91">
        <f>+T105*0.06</f>
        <v>1569324.1252394284</v>
      </c>
      <c r="AB105" s="91">
        <v>0</v>
      </c>
      <c r="AC105" s="91">
        <f>+T105*0.01</f>
        <v>261554.02087323807</v>
      </c>
      <c r="AD105" s="91">
        <v>0</v>
      </c>
      <c r="AE105" s="91">
        <f>+AC105*1.15</f>
        <v>300787.12400422373</v>
      </c>
      <c r="AF105" s="91">
        <v>0</v>
      </c>
      <c r="AG105" s="204">
        <f>+AE105*1.15</f>
        <v>345905.19260485726</v>
      </c>
    </row>
    <row r="106" spans="1:33" s="103" customFormat="1" ht="90" customHeight="1">
      <c r="A106" s="102">
        <f t="shared" si="34"/>
        <v>85</v>
      </c>
      <c r="B106" s="52" t="s">
        <v>364</v>
      </c>
      <c r="C106" s="51" t="s">
        <v>365</v>
      </c>
      <c r="D106" s="35" t="s">
        <v>65</v>
      </c>
      <c r="E106" s="35">
        <v>800005322</v>
      </c>
      <c r="F106" s="36" t="s">
        <v>67</v>
      </c>
      <c r="G106" s="35" t="s">
        <v>48</v>
      </c>
      <c r="H106" s="51" t="s">
        <v>97</v>
      </c>
      <c r="I106" s="34" t="s">
        <v>163</v>
      </c>
      <c r="J106" s="52" t="s">
        <v>164</v>
      </c>
      <c r="K106" s="52"/>
      <c r="L106" s="51" t="s">
        <v>61</v>
      </c>
      <c r="M106" s="51" t="s">
        <v>117</v>
      </c>
      <c r="N106" s="36" t="s">
        <v>50</v>
      </c>
      <c r="O106" s="51"/>
      <c r="P106" s="51" t="s">
        <v>366</v>
      </c>
      <c r="Q106" s="37">
        <v>42461</v>
      </c>
      <c r="R106" s="37">
        <v>43100</v>
      </c>
      <c r="S106" s="35" t="s">
        <v>96</v>
      </c>
      <c r="T106" s="38">
        <f>+(1350713+929210+300000+250000+1293526+4298671+1050000+150000+25*190000+450000)*1.23*1.07</f>
        <v>19507392.132000003</v>
      </c>
      <c r="U106" s="39"/>
      <c r="V106" s="131"/>
      <c r="W106" s="38">
        <v>0</v>
      </c>
      <c r="X106" s="38">
        <v>0</v>
      </c>
      <c r="Y106" s="132">
        <f>+T106*0.235*0.3</f>
        <v>1375271.1453060003</v>
      </c>
      <c r="Z106" s="38">
        <f>+T106-Y106-AA106</f>
        <v>16961677.458774004</v>
      </c>
      <c r="AA106" s="91">
        <f>+T106*0.06</f>
        <v>1170443.52792</v>
      </c>
      <c r="AB106" s="91">
        <v>0</v>
      </c>
      <c r="AC106" s="91">
        <f>+T106*0.01</f>
        <v>195073.92132000002</v>
      </c>
      <c r="AD106" s="91">
        <v>0</v>
      </c>
      <c r="AE106" s="91">
        <f>+AC106*1.15</f>
        <v>224335.00951800001</v>
      </c>
      <c r="AF106" s="91">
        <v>0</v>
      </c>
      <c r="AG106" s="204">
        <f>+AE106*1.15</f>
        <v>257985.26094569999</v>
      </c>
    </row>
    <row r="107" spans="1:33" s="103" customFormat="1" ht="90" customHeight="1">
      <c r="A107" s="102">
        <f t="shared" si="34"/>
        <v>86</v>
      </c>
      <c r="B107" s="52" t="s">
        <v>367</v>
      </c>
      <c r="C107" s="51" t="s">
        <v>368</v>
      </c>
      <c r="D107" s="35" t="s">
        <v>65</v>
      </c>
      <c r="E107" s="35">
        <v>800034496</v>
      </c>
      <c r="F107" s="36" t="s">
        <v>67</v>
      </c>
      <c r="G107" s="35" t="s">
        <v>48</v>
      </c>
      <c r="H107" s="51" t="s">
        <v>57</v>
      </c>
      <c r="I107" s="34" t="s">
        <v>369</v>
      </c>
      <c r="J107" s="52" t="s">
        <v>123</v>
      </c>
      <c r="K107" s="52"/>
      <c r="L107" s="51" t="s">
        <v>61</v>
      </c>
      <c r="M107" s="51" t="s">
        <v>117</v>
      </c>
      <c r="N107" s="36" t="s">
        <v>50</v>
      </c>
      <c r="O107" s="51"/>
      <c r="P107" s="51" t="s">
        <v>711</v>
      </c>
      <c r="Q107" s="37">
        <v>42461</v>
      </c>
      <c r="R107" s="37">
        <v>43100</v>
      </c>
      <c r="S107" s="35" t="s">
        <v>96</v>
      </c>
      <c r="T107" s="38">
        <f>+(1823640+12*((1141850+1714473+2097122)/9)+3658606+1293526+1350713+300000+929210+12*1022001/14+1050000+150000)*1.23*1.07</f>
        <v>23737560.203585718</v>
      </c>
      <c r="U107" s="39"/>
      <c r="V107" s="131"/>
      <c r="W107" s="38">
        <v>0</v>
      </c>
      <c r="X107" s="38">
        <v>0</v>
      </c>
      <c r="Y107" s="132">
        <f>+T107*0.235*0.3</f>
        <v>1673497.9943527931</v>
      </c>
      <c r="Z107" s="38">
        <f>+T107-Y107-AA107</f>
        <v>20639808.597017784</v>
      </c>
      <c r="AA107" s="91">
        <f>+T107*0.06</f>
        <v>1424253.6122151429</v>
      </c>
      <c r="AB107" s="91">
        <v>0</v>
      </c>
      <c r="AC107" s="91">
        <f>+T107*0.01</f>
        <v>237375.60203585718</v>
      </c>
      <c r="AD107" s="91">
        <v>0</v>
      </c>
      <c r="AE107" s="91">
        <f>+AC107*1.15</f>
        <v>272981.94234123576</v>
      </c>
      <c r="AF107" s="91">
        <v>0</v>
      </c>
      <c r="AG107" s="204">
        <f>+AE107*1.15</f>
        <v>313929.23369242111</v>
      </c>
    </row>
    <row r="108" spans="1:33" s="103" customFormat="1" ht="90" customHeight="1">
      <c r="A108" s="102">
        <f t="shared" si="34"/>
        <v>87</v>
      </c>
      <c r="B108" s="52"/>
      <c r="C108" s="51" t="s">
        <v>370</v>
      </c>
      <c r="D108" s="35" t="s">
        <v>65</v>
      </c>
      <c r="E108" s="35" t="s">
        <v>66</v>
      </c>
      <c r="F108" s="36" t="s">
        <v>67</v>
      </c>
      <c r="G108" s="35" t="s">
        <v>48</v>
      </c>
      <c r="H108" s="51" t="s">
        <v>57</v>
      </c>
      <c r="I108" s="34"/>
      <c r="J108" s="52" t="s">
        <v>123</v>
      </c>
      <c r="K108" s="52"/>
      <c r="L108" s="51" t="s">
        <v>49</v>
      </c>
      <c r="M108" s="51" t="s">
        <v>2</v>
      </c>
      <c r="N108" s="36" t="s">
        <v>50</v>
      </c>
      <c r="O108" s="51"/>
      <c r="P108" s="51" t="s">
        <v>1230</v>
      </c>
      <c r="Q108" s="37">
        <v>41730</v>
      </c>
      <c r="R108" s="37">
        <v>42460</v>
      </c>
      <c r="S108" s="35" t="s">
        <v>52</v>
      </c>
      <c r="T108" s="38">
        <v>48000000</v>
      </c>
      <c r="U108" s="39"/>
      <c r="V108" s="131"/>
      <c r="W108" s="38">
        <v>0</v>
      </c>
      <c r="X108" s="38">
        <f>650000+15800000</f>
        <v>16450000</v>
      </c>
      <c r="Y108" s="132">
        <f>+T108-W108-X108</f>
        <v>31550000</v>
      </c>
      <c r="Z108" s="38">
        <v>0</v>
      </c>
      <c r="AA108" s="91">
        <f>+T108*0.01</f>
        <v>480000</v>
      </c>
      <c r="AB108" s="91">
        <v>0</v>
      </c>
      <c r="AC108" s="91">
        <f>+AA108*1.15</f>
        <v>552000</v>
      </c>
      <c r="AD108" s="91">
        <v>0</v>
      </c>
      <c r="AE108" s="91">
        <f>+AC108*1.15</f>
        <v>634800</v>
      </c>
      <c r="AF108" s="91">
        <v>0</v>
      </c>
      <c r="AG108" s="204">
        <f>+AE108*1.15</f>
        <v>730020</v>
      </c>
    </row>
    <row r="109" spans="1:33" s="103" customFormat="1" ht="90" customHeight="1">
      <c r="A109" s="102">
        <f t="shared" si="34"/>
        <v>88</v>
      </c>
      <c r="B109" s="52" t="s">
        <v>371</v>
      </c>
      <c r="C109" s="51" t="s">
        <v>372</v>
      </c>
      <c r="D109" s="35" t="s">
        <v>65</v>
      </c>
      <c r="E109" s="35">
        <v>800012625</v>
      </c>
      <c r="F109" s="36" t="s">
        <v>67</v>
      </c>
      <c r="G109" s="35" t="s">
        <v>48</v>
      </c>
      <c r="H109" s="51" t="s">
        <v>68</v>
      </c>
      <c r="I109" s="34" t="s">
        <v>69</v>
      </c>
      <c r="J109" s="52" t="s">
        <v>70</v>
      </c>
      <c r="K109" s="52" t="s">
        <v>60</v>
      </c>
      <c r="L109" s="51" t="s">
        <v>61</v>
      </c>
      <c r="M109" s="51" t="s">
        <v>117</v>
      </c>
      <c r="N109" s="36" t="s">
        <v>50</v>
      </c>
      <c r="O109" s="51"/>
      <c r="P109" s="51" t="s">
        <v>373</v>
      </c>
      <c r="Q109" s="37">
        <v>42461</v>
      </c>
      <c r="R109" s="37">
        <v>42369</v>
      </c>
      <c r="S109" s="35" t="s">
        <v>96</v>
      </c>
      <c r="T109" s="38">
        <v>18000000</v>
      </c>
      <c r="U109" s="39"/>
      <c r="V109" s="131"/>
      <c r="W109" s="38">
        <v>0</v>
      </c>
      <c r="X109" s="38">
        <v>0</v>
      </c>
      <c r="Y109" s="132">
        <f>+T109*0.235*0.3</f>
        <v>1269000</v>
      </c>
      <c r="Z109" s="38">
        <f>+T109-Y109-AA109</f>
        <v>15651000</v>
      </c>
      <c r="AA109" s="91">
        <f>+T109*0.06</f>
        <v>1080000</v>
      </c>
      <c r="AB109" s="91">
        <v>0</v>
      </c>
      <c r="AC109" s="91">
        <f>+T109*0.01</f>
        <v>180000</v>
      </c>
      <c r="AD109" s="91">
        <v>0</v>
      </c>
      <c r="AE109" s="91">
        <f>+AC109*1.15</f>
        <v>206999.99999999997</v>
      </c>
      <c r="AF109" s="91">
        <v>0</v>
      </c>
      <c r="AG109" s="204">
        <f>+AE109*1.15</f>
        <v>238049.99999999994</v>
      </c>
    </row>
    <row r="110" spans="1:33" s="103" customFormat="1" ht="90" customHeight="1">
      <c r="A110" s="102">
        <f t="shared" si="34"/>
        <v>89</v>
      </c>
      <c r="B110" s="52" t="s">
        <v>374</v>
      </c>
      <c r="C110" s="51" t="s">
        <v>375</v>
      </c>
      <c r="D110" s="35" t="s">
        <v>73</v>
      </c>
      <c r="E110" s="35">
        <v>800007781</v>
      </c>
      <c r="F110" s="36" t="s">
        <v>67</v>
      </c>
      <c r="G110" s="35" t="s">
        <v>48</v>
      </c>
      <c r="H110" s="51" t="s">
        <v>68</v>
      </c>
      <c r="I110" s="34" t="s">
        <v>69</v>
      </c>
      <c r="J110" s="52" t="s">
        <v>70</v>
      </c>
      <c r="K110" s="52" t="s">
        <v>60</v>
      </c>
      <c r="L110" s="51" t="s">
        <v>61</v>
      </c>
      <c r="M110" s="51" t="s">
        <v>117</v>
      </c>
      <c r="N110" s="36" t="s">
        <v>50</v>
      </c>
      <c r="O110" s="51"/>
      <c r="P110" s="51" t="s">
        <v>376</v>
      </c>
      <c r="Q110" s="37">
        <v>42461</v>
      </c>
      <c r="R110" s="37">
        <v>43100</v>
      </c>
      <c r="S110" s="35" t="s">
        <v>96</v>
      </c>
      <c r="T110" s="38">
        <v>30000000</v>
      </c>
      <c r="U110" s="39"/>
      <c r="V110" s="131"/>
      <c r="W110" s="38">
        <v>0</v>
      </c>
      <c r="X110" s="38">
        <v>0</v>
      </c>
      <c r="Y110" s="38">
        <v>0</v>
      </c>
      <c r="Z110" s="38">
        <f>+T110*0.235*0.3</f>
        <v>2115000</v>
      </c>
      <c r="AA110" s="91">
        <f>+T110-Z110-AB110</f>
        <v>26085000</v>
      </c>
      <c r="AB110" s="91">
        <f>+T110*0.06</f>
        <v>1800000</v>
      </c>
      <c r="AC110" s="91">
        <v>0</v>
      </c>
      <c r="AD110" s="91">
        <f>+T110*0.01</f>
        <v>300000</v>
      </c>
      <c r="AE110" s="91">
        <v>0</v>
      </c>
      <c r="AF110" s="91">
        <f>+AD110*1.15</f>
        <v>345000</v>
      </c>
      <c r="AG110" s="204">
        <v>0</v>
      </c>
    </row>
    <row r="111" spans="1:33" s="103" customFormat="1" ht="90" customHeight="1">
      <c r="A111" s="102">
        <f t="shared" si="34"/>
        <v>90</v>
      </c>
      <c r="B111" s="52" t="s">
        <v>377</v>
      </c>
      <c r="C111" s="51" t="s">
        <v>378</v>
      </c>
      <c r="D111" s="35" t="s">
        <v>331</v>
      </c>
      <c r="E111" s="35">
        <v>800007898</v>
      </c>
      <c r="F111" s="36" t="s">
        <v>67</v>
      </c>
      <c r="G111" s="35" t="s">
        <v>48</v>
      </c>
      <c r="H111" s="51" t="s">
        <v>57</v>
      </c>
      <c r="I111" s="34" t="s">
        <v>379</v>
      </c>
      <c r="J111" s="52" t="s">
        <v>188</v>
      </c>
      <c r="K111" s="52" t="s">
        <v>60</v>
      </c>
      <c r="L111" s="51" t="s">
        <v>61</v>
      </c>
      <c r="M111" s="51" t="s">
        <v>117</v>
      </c>
      <c r="N111" s="36" t="s">
        <v>50</v>
      </c>
      <c r="O111" s="51"/>
      <c r="P111" s="51" t="s">
        <v>380</v>
      </c>
      <c r="Q111" s="37">
        <v>42095</v>
      </c>
      <c r="R111" s="37">
        <v>42460</v>
      </c>
      <c r="S111" s="35" t="s">
        <v>96</v>
      </c>
      <c r="T111" s="38">
        <v>8000000</v>
      </c>
      <c r="U111" s="39"/>
      <c r="V111" s="131"/>
      <c r="W111" s="38">
        <v>0</v>
      </c>
      <c r="X111" s="38">
        <v>0</v>
      </c>
      <c r="Y111" s="132">
        <v>400000</v>
      </c>
      <c r="Z111" s="38">
        <v>7600000</v>
      </c>
      <c r="AA111" s="91">
        <v>0</v>
      </c>
      <c r="AB111" s="91">
        <f>+T111*0.01</f>
        <v>80000</v>
      </c>
      <c r="AC111" s="91">
        <v>0</v>
      </c>
      <c r="AD111" s="91">
        <f>AB111*1.15</f>
        <v>92000</v>
      </c>
      <c r="AE111" s="91">
        <v>0</v>
      </c>
      <c r="AF111" s="91">
        <f>AD111*1.15</f>
        <v>105799.99999999999</v>
      </c>
      <c r="AG111" s="204">
        <v>0</v>
      </c>
    </row>
    <row r="112" spans="1:33" s="103" customFormat="1" ht="90" customHeight="1">
      <c r="A112" s="102">
        <f t="shared" si="34"/>
        <v>91</v>
      </c>
      <c r="B112" s="52" t="s">
        <v>381</v>
      </c>
      <c r="C112" s="51" t="s">
        <v>382</v>
      </c>
      <c r="D112" s="35" t="s">
        <v>65</v>
      </c>
      <c r="E112" s="35">
        <v>800008672</v>
      </c>
      <c r="F112" s="36" t="s">
        <v>67</v>
      </c>
      <c r="G112" s="35" t="s">
        <v>48</v>
      </c>
      <c r="H112" s="51" t="s">
        <v>68</v>
      </c>
      <c r="I112" s="34" t="s">
        <v>105</v>
      </c>
      <c r="J112" s="52" t="s">
        <v>70</v>
      </c>
      <c r="K112" s="52" t="s">
        <v>60</v>
      </c>
      <c r="L112" s="51" t="s">
        <v>61</v>
      </c>
      <c r="M112" s="51" t="s">
        <v>117</v>
      </c>
      <c r="N112" s="36" t="s">
        <v>50</v>
      </c>
      <c r="O112" s="51"/>
      <c r="P112" s="51" t="s">
        <v>383</v>
      </c>
      <c r="Q112" s="37">
        <v>42461</v>
      </c>
      <c r="R112" s="37">
        <v>43100</v>
      </c>
      <c r="S112" s="35" t="s">
        <v>96</v>
      </c>
      <c r="T112" s="38">
        <v>18000000</v>
      </c>
      <c r="U112" s="39"/>
      <c r="V112" s="131"/>
      <c r="W112" s="38">
        <v>0</v>
      </c>
      <c r="X112" s="38">
        <v>0</v>
      </c>
      <c r="Y112" s="132">
        <v>900000</v>
      </c>
      <c r="Z112" s="38">
        <v>17100000</v>
      </c>
      <c r="AA112" s="91">
        <v>0</v>
      </c>
      <c r="AB112" s="91">
        <f>+T112*0.01</f>
        <v>180000</v>
      </c>
      <c r="AC112" s="91">
        <v>0</v>
      </c>
      <c r="AD112" s="91">
        <f>+AB112*1.15</f>
        <v>206999.99999999997</v>
      </c>
      <c r="AE112" s="91">
        <v>0</v>
      </c>
      <c r="AF112" s="91">
        <f>+AD112*1.15</f>
        <v>238049.99999999994</v>
      </c>
      <c r="AG112" s="204">
        <v>0</v>
      </c>
    </row>
    <row r="113" spans="1:34" s="103" customFormat="1" ht="90" customHeight="1">
      <c r="A113" s="102">
        <f t="shared" si="34"/>
        <v>92</v>
      </c>
      <c r="B113" s="52" t="s">
        <v>384</v>
      </c>
      <c r="C113" s="51" t="s">
        <v>385</v>
      </c>
      <c r="D113" s="35" t="s">
        <v>65</v>
      </c>
      <c r="E113" s="35">
        <v>800011536</v>
      </c>
      <c r="F113" s="36" t="s">
        <v>67</v>
      </c>
      <c r="G113" s="35" t="s">
        <v>48</v>
      </c>
      <c r="H113" s="51" t="s">
        <v>68</v>
      </c>
      <c r="I113" s="34" t="s">
        <v>90</v>
      </c>
      <c r="J113" s="52" t="s">
        <v>70</v>
      </c>
      <c r="K113" s="52" t="s">
        <v>60</v>
      </c>
      <c r="L113" s="51" t="s">
        <v>61</v>
      </c>
      <c r="M113" s="51" t="s">
        <v>117</v>
      </c>
      <c r="N113" s="36" t="s">
        <v>50</v>
      </c>
      <c r="O113" s="51"/>
      <c r="P113" s="51" t="s">
        <v>386</v>
      </c>
      <c r="Q113" s="37">
        <v>41791</v>
      </c>
      <c r="R113" s="37">
        <v>42094</v>
      </c>
      <c r="S113" s="35" t="s">
        <v>52</v>
      </c>
      <c r="T113" s="38">
        <f>(20*190000+(3658606+1350713)*1.07+4*25000+2097122)*1.235</f>
        <v>14026010.262550002</v>
      </c>
      <c r="U113" s="39"/>
      <c r="V113" s="131"/>
      <c r="W113" s="38">
        <v>0</v>
      </c>
      <c r="X113" s="38">
        <f>+T113*0.45</f>
        <v>6311704.6181475008</v>
      </c>
      <c r="Y113" s="132">
        <f>+T113-X113</f>
        <v>7714305.6444025012</v>
      </c>
      <c r="Z113" s="38">
        <v>0</v>
      </c>
      <c r="AA113" s="91"/>
      <c r="AB113" s="91"/>
      <c r="AC113" s="91"/>
      <c r="AD113" s="91"/>
      <c r="AE113" s="91"/>
      <c r="AF113" s="91"/>
      <c r="AG113" s="204"/>
    </row>
    <row r="114" spans="1:34" s="103" customFormat="1" ht="90" customHeight="1">
      <c r="A114" s="102">
        <f t="shared" si="34"/>
        <v>93</v>
      </c>
      <c r="B114" s="52" t="s">
        <v>387</v>
      </c>
      <c r="C114" s="51" t="s">
        <v>388</v>
      </c>
      <c r="D114" s="35" t="s">
        <v>73</v>
      </c>
      <c r="E114" s="35">
        <v>800034892</v>
      </c>
      <c r="F114" s="36" t="s">
        <v>67</v>
      </c>
      <c r="G114" s="35" t="s">
        <v>48</v>
      </c>
      <c r="H114" s="51" t="s">
        <v>74</v>
      </c>
      <c r="I114" s="34" t="s">
        <v>389</v>
      </c>
      <c r="J114" s="52" t="s">
        <v>75</v>
      </c>
      <c r="K114" s="52" t="s">
        <v>60</v>
      </c>
      <c r="L114" s="51" t="s">
        <v>61</v>
      </c>
      <c r="M114" s="51" t="s">
        <v>117</v>
      </c>
      <c r="N114" s="36" t="s">
        <v>50</v>
      </c>
      <c r="O114" s="51"/>
      <c r="P114" s="51" t="s">
        <v>390</v>
      </c>
      <c r="Q114" s="37">
        <v>42461</v>
      </c>
      <c r="R114" s="37">
        <v>43100</v>
      </c>
      <c r="S114" s="35" t="s">
        <v>96</v>
      </c>
      <c r="T114" s="38">
        <v>12000000</v>
      </c>
      <c r="U114" s="39"/>
      <c r="V114" s="131"/>
      <c r="W114" s="38">
        <v>0</v>
      </c>
      <c r="X114" s="38">
        <v>0</v>
      </c>
      <c r="Y114" s="132">
        <v>600000</v>
      </c>
      <c r="Z114" s="38">
        <v>11400000</v>
      </c>
      <c r="AA114" s="91">
        <v>0</v>
      </c>
      <c r="AB114" s="91">
        <v>0</v>
      </c>
      <c r="AC114" s="91">
        <v>0</v>
      </c>
      <c r="AD114" s="91">
        <v>0</v>
      </c>
      <c r="AE114" s="91">
        <v>0</v>
      </c>
      <c r="AF114" s="91">
        <v>0</v>
      </c>
      <c r="AG114" s="204">
        <v>0</v>
      </c>
    </row>
    <row r="115" spans="1:34" s="103" customFormat="1" ht="90" customHeight="1">
      <c r="A115" s="102">
        <f t="shared" si="34"/>
        <v>94</v>
      </c>
      <c r="B115" s="52" t="s">
        <v>391</v>
      </c>
      <c r="C115" s="51" t="s">
        <v>392</v>
      </c>
      <c r="D115" s="35" t="s">
        <v>65</v>
      </c>
      <c r="E115" s="35">
        <v>800012112</v>
      </c>
      <c r="F115" s="36" t="s">
        <v>67</v>
      </c>
      <c r="G115" s="35" t="s">
        <v>48</v>
      </c>
      <c r="H115" s="51" t="s">
        <v>97</v>
      </c>
      <c r="I115" s="34" t="s">
        <v>393</v>
      </c>
      <c r="J115" s="52" t="s">
        <v>169</v>
      </c>
      <c r="K115" s="52" t="s">
        <v>60</v>
      </c>
      <c r="L115" s="51" t="s">
        <v>61</v>
      </c>
      <c r="M115" s="51" t="s">
        <v>117</v>
      </c>
      <c r="N115" s="36" t="s">
        <v>50</v>
      </c>
      <c r="O115" s="51"/>
      <c r="P115" s="51" t="s">
        <v>394</v>
      </c>
      <c r="Q115" s="37">
        <v>42522</v>
      </c>
      <c r="R115" s="37">
        <v>43100</v>
      </c>
      <c r="S115" s="35" t="s">
        <v>96</v>
      </c>
      <c r="T115" s="38">
        <f>+(1823640+3658606+1293526+1350713+929210+1350000+10*1022001/14+600000+350000+750000+150000+300000+6*190000)*1.23*1.07</f>
        <v>18985658.12957143</v>
      </c>
      <c r="U115" s="39"/>
      <c r="V115" s="131"/>
      <c r="W115" s="38">
        <v>0</v>
      </c>
      <c r="X115" s="38">
        <v>0</v>
      </c>
      <c r="Y115" s="132">
        <f>+T115*0.235*0.3</f>
        <v>1338488.8981347857</v>
      </c>
      <c r="Z115" s="38">
        <f>+T115-Y115-AA115</f>
        <v>16508029.743662357</v>
      </c>
      <c r="AA115" s="91">
        <f>+T115*0.06</f>
        <v>1139139.4877742857</v>
      </c>
      <c r="AB115" s="91">
        <v>0</v>
      </c>
      <c r="AC115" s="91">
        <f>+T115*0.01</f>
        <v>189856.58129571431</v>
      </c>
      <c r="AD115" s="91">
        <v>0</v>
      </c>
      <c r="AE115" s="91">
        <f t="shared" ref="AE115" si="38">+AC115*1.15</f>
        <v>218335.06849007143</v>
      </c>
      <c r="AF115" s="91">
        <v>0</v>
      </c>
      <c r="AG115" s="204">
        <f>+AE115*1.15</f>
        <v>251085.32876358213</v>
      </c>
    </row>
    <row r="116" spans="1:34" s="103" customFormat="1" ht="90" customHeight="1">
      <c r="A116" s="102">
        <f t="shared" si="34"/>
        <v>95</v>
      </c>
      <c r="B116" s="52" t="s">
        <v>395</v>
      </c>
      <c r="C116" s="51" t="s">
        <v>396</v>
      </c>
      <c r="D116" s="35" t="s">
        <v>65</v>
      </c>
      <c r="E116" s="35">
        <v>800012138</v>
      </c>
      <c r="F116" s="36" t="s">
        <v>67</v>
      </c>
      <c r="G116" s="35" t="s">
        <v>48</v>
      </c>
      <c r="H116" s="51" t="s">
        <v>97</v>
      </c>
      <c r="I116" s="34" t="s">
        <v>214</v>
      </c>
      <c r="J116" s="52" t="s">
        <v>169</v>
      </c>
      <c r="K116" s="52" t="s">
        <v>60</v>
      </c>
      <c r="L116" s="51" t="s">
        <v>61</v>
      </c>
      <c r="M116" s="51" t="s">
        <v>117</v>
      </c>
      <c r="N116" s="36" t="s">
        <v>50</v>
      </c>
      <c r="O116" s="51"/>
      <c r="P116" s="51" t="s">
        <v>1144</v>
      </c>
      <c r="Q116" s="46">
        <v>41791</v>
      </c>
      <c r="R116" s="46">
        <v>42094</v>
      </c>
      <c r="S116" s="35" t="s">
        <v>96</v>
      </c>
      <c r="T116" s="38">
        <f>+(1823640+10*((1141850+1714473+2097122)/9)+3658606+1350713+929210+1293526+1350000+28*1022001/14+600000+350000+1050000+150000+300000)*1.23*1.07</f>
        <v>26853078.960033331</v>
      </c>
      <c r="U116" s="39"/>
      <c r="V116" s="131"/>
      <c r="W116" s="38">
        <v>0</v>
      </c>
      <c r="X116" s="38">
        <v>0</v>
      </c>
      <c r="Y116" s="38">
        <v>0</v>
      </c>
      <c r="Z116" s="38">
        <f>+T116*0.235*0.3</f>
        <v>1893142.0666823494</v>
      </c>
      <c r="AA116" s="91">
        <f>+T116-Z116-AB116</f>
        <v>23348752.155748982</v>
      </c>
      <c r="AB116" s="91">
        <f>+T116*0.06</f>
        <v>1611184.7376019999</v>
      </c>
      <c r="AC116" s="91">
        <v>0</v>
      </c>
      <c r="AD116" s="91">
        <f>+T116*0.01</f>
        <v>268530.78960033332</v>
      </c>
      <c r="AE116" s="91">
        <v>0</v>
      </c>
      <c r="AF116" s="91">
        <f>+AD116*1.15</f>
        <v>308810.40804038331</v>
      </c>
      <c r="AG116" s="204">
        <v>0</v>
      </c>
    </row>
    <row r="117" spans="1:34" s="103" customFormat="1" ht="90" customHeight="1">
      <c r="A117" s="102">
        <f t="shared" si="34"/>
        <v>96</v>
      </c>
      <c r="B117" s="52" t="s">
        <v>397</v>
      </c>
      <c r="C117" s="51" t="s">
        <v>398</v>
      </c>
      <c r="D117" s="35" t="s">
        <v>96</v>
      </c>
      <c r="E117" s="35">
        <v>800012484</v>
      </c>
      <c r="F117" s="36" t="s">
        <v>67</v>
      </c>
      <c r="G117" s="35" t="s">
        <v>48</v>
      </c>
      <c r="H117" s="51" t="s">
        <v>97</v>
      </c>
      <c r="I117" s="34" t="s">
        <v>393</v>
      </c>
      <c r="J117" s="52" t="s">
        <v>169</v>
      </c>
      <c r="K117" s="52" t="s">
        <v>60</v>
      </c>
      <c r="L117" s="51" t="s">
        <v>61</v>
      </c>
      <c r="M117" s="51" t="s">
        <v>117</v>
      </c>
      <c r="N117" s="36" t="s">
        <v>50</v>
      </c>
      <c r="O117" s="51"/>
      <c r="P117" s="51" t="s">
        <v>399</v>
      </c>
      <c r="Q117" s="37">
        <v>42461</v>
      </c>
      <c r="R117" s="37">
        <v>42825</v>
      </c>
      <c r="S117" s="35" t="s">
        <v>96</v>
      </c>
      <c r="T117" s="38">
        <f>+(5*((1141850+1714473+2097122)/9)+3658606+1247367+929210+1293526+4298671+1350000+20*1022001/14+300000+1050000+150000+14*190000)*1.23*1.07</f>
        <v>27834587.567309525</v>
      </c>
      <c r="U117" s="39"/>
      <c r="V117" s="131"/>
      <c r="W117" s="38">
        <v>0</v>
      </c>
      <c r="X117" s="38">
        <v>0</v>
      </c>
      <c r="Y117" s="38">
        <v>0</v>
      </c>
      <c r="Z117" s="38">
        <f>+T117*0.235*0.3</f>
        <v>1962338.4234953213</v>
      </c>
      <c r="AA117" s="91">
        <f>+T117-Z117-AB117</f>
        <v>24202173.88977563</v>
      </c>
      <c r="AB117" s="91">
        <f>+T117*0.06</f>
        <v>1670075.2540385714</v>
      </c>
      <c r="AC117" s="91">
        <v>0</v>
      </c>
      <c r="AD117" s="91">
        <f>+T117*0.01</f>
        <v>278345.87567309523</v>
      </c>
      <c r="AE117" s="91">
        <v>0</v>
      </c>
      <c r="AF117" s="91">
        <f>+AD117*1.15</f>
        <v>320097.75702405948</v>
      </c>
      <c r="AG117" s="204">
        <v>0</v>
      </c>
    </row>
    <row r="118" spans="1:34" s="103" customFormat="1" ht="90" customHeight="1">
      <c r="A118" s="102">
        <f t="shared" si="34"/>
        <v>97</v>
      </c>
      <c r="B118" s="52" t="s">
        <v>400</v>
      </c>
      <c r="C118" s="51" t="s">
        <v>401</v>
      </c>
      <c r="D118" s="35" t="s">
        <v>65</v>
      </c>
      <c r="E118" s="35">
        <v>800012625</v>
      </c>
      <c r="F118" s="36" t="s">
        <v>67</v>
      </c>
      <c r="G118" s="35" t="s">
        <v>48</v>
      </c>
      <c r="H118" s="51" t="s">
        <v>68</v>
      </c>
      <c r="I118" s="34" t="s">
        <v>69</v>
      </c>
      <c r="J118" s="52" t="s">
        <v>70</v>
      </c>
      <c r="K118" s="52" t="s">
        <v>60</v>
      </c>
      <c r="L118" s="51" t="s">
        <v>61</v>
      </c>
      <c r="M118" s="51" t="s">
        <v>117</v>
      </c>
      <c r="N118" s="36" t="s">
        <v>50</v>
      </c>
      <c r="O118" s="51"/>
      <c r="P118" s="51" t="s">
        <v>644</v>
      </c>
      <c r="Q118" s="37">
        <v>42461</v>
      </c>
      <c r="R118" s="37">
        <v>43100</v>
      </c>
      <c r="S118" s="35" t="s">
        <v>96</v>
      </c>
      <c r="T118" s="38">
        <f>+(10*((1141850+1714473+2097122)/9)+3658606+1293526+1350713*3+4298671+300000+1350000+929210+350000+13*(1022001/14)+750000+150000)*1.23*1.07</f>
        <v>31040193.107626192</v>
      </c>
      <c r="U118" s="39"/>
      <c r="V118" s="131"/>
      <c r="W118" s="38">
        <v>0</v>
      </c>
      <c r="X118" s="38">
        <v>0</v>
      </c>
      <c r="Y118" s="38">
        <v>0</v>
      </c>
      <c r="Z118" s="38">
        <f>+T118*0.235*0.3</f>
        <v>2188333.6140876464</v>
      </c>
      <c r="AA118" s="91">
        <f>+T118-Z118-AB118</f>
        <v>26989447.907080974</v>
      </c>
      <c r="AB118" s="91">
        <f>+T118*0.06</f>
        <v>1862411.5864575715</v>
      </c>
      <c r="AC118" s="91">
        <v>0</v>
      </c>
      <c r="AD118" s="91">
        <f>+T118*0.01</f>
        <v>310401.93107626191</v>
      </c>
      <c r="AE118" s="91">
        <v>0</v>
      </c>
      <c r="AF118" s="91">
        <f>+AD118*1.15</f>
        <v>356962.22073770117</v>
      </c>
      <c r="AG118" s="204">
        <v>0</v>
      </c>
    </row>
    <row r="119" spans="1:34" s="103" customFormat="1" ht="90" customHeight="1">
      <c r="A119" s="102">
        <f t="shared" si="34"/>
        <v>98</v>
      </c>
      <c r="B119" s="52"/>
      <c r="C119" s="51" t="s">
        <v>402</v>
      </c>
      <c r="D119" s="35"/>
      <c r="E119" s="35">
        <v>800013029</v>
      </c>
      <c r="F119" s="36" t="s">
        <v>67</v>
      </c>
      <c r="G119" s="35" t="s">
        <v>48</v>
      </c>
      <c r="H119" s="51" t="s">
        <v>97</v>
      </c>
      <c r="I119" s="34" t="s">
        <v>403</v>
      </c>
      <c r="J119" s="52" t="s">
        <v>147</v>
      </c>
      <c r="K119" s="52" t="s">
        <v>60</v>
      </c>
      <c r="L119" s="51" t="s">
        <v>61</v>
      </c>
      <c r="M119" s="51" t="s">
        <v>117</v>
      </c>
      <c r="N119" s="36" t="s">
        <v>50</v>
      </c>
      <c r="O119" s="51"/>
      <c r="P119" s="51" t="s">
        <v>1164</v>
      </c>
      <c r="Q119" s="37">
        <v>42461</v>
      </c>
      <c r="R119" s="37">
        <v>42825</v>
      </c>
      <c r="S119" s="35" t="s">
        <v>96</v>
      </c>
      <c r="T119" s="38">
        <f>+(16*190000+(1823640+1293526+929210+16*1022001/14)*1.07)*1.23</f>
        <v>10601841.757714286</v>
      </c>
      <c r="U119" s="39"/>
      <c r="V119" s="131"/>
      <c r="W119" s="38">
        <v>0</v>
      </c>
      <c r="X119" s="38">
        <v>0</v>
      </c>
      <c r="Y119" s="132">
        <f>+T119*0.235*0.3</f>
        <v>747429.84391885716</v>
      </c>
      <c r="Z119" s="38">
        <f>+T119-Y119-AA119</f>
        <v>9324319.8259097151</v>
      </c>
      <c r="AA119" s="91">
        <f>+T119*0.05</f>
        <v>530092.08788571437</v>
      </c>
      <c r="AB119" s="91">
        <v>0</v>
      </c>
      <c r="AC119" s="91">
        <f>+AA119*0.1</f>
        <v>53009.208788571443</v>
      </c>
      <c r="AD119" s="91">
        <v>0</v>
      </c>
      <c r="AE119" s="91">
        <f>+AC119*1.15</f>
        <v>60960.590106857155</v>
      </c>
      <c r="AF119" s="91">
        <v>0</v>
      </c>
      <c r="AG119" s="204">
        <f>+AE119*1.15</f>
        <v>70104.678622885724</v>
      </c>
    </row>
    <row r="120" spans="1:34" s="103" customFormat="1" ht="90" customHeight="1">
      <c r="A120" s="102">
        <f t="shared" si="34"/>
        <v>99</v>
      </c>
      <c r="B120" s="52" t="s">
        <v>404</v>
      </c>
      <c r="C120" s="51" t="s">
        <v>405</v>
      </c>
      <c r="D120" s="35" t="s">
        <v>65</v>
      </c>
      <c r="E120" s="35">
        <v>800035130</v>
      </c>
      <c r="F120" s="36" t="s">
        <v>67</v>
      </c>
      <c r="G120" s="35" t="s">
        <v>48</v>
      </c>
      <c r="H120" s="51" t="s">
        <v>74</v>
      </c>
      <c r="I120" s="34" t="s">
        <v>406</v>
      </c>
      <c r="J120" s="52" t="s">
        <v>75</v>
      </c>
      <c r="K120" s="52" t="s">
        <v>60</v>
      </c>
      <c r="L120" s="51" t="s">
        <v>61</v>
      </c>
      <c r="M120" s="51" t="s">
        <v>117</v>
      </c>
      <c r="N120" s="36" t="s">
        <v>50</v>
      </c>
      <c r="O120" s="51"/>
      <c r="P120" s="51" t="s">
        <v>407</v>
      </c>
      <c r="Q120" s="37">
        <v>41730</v>
      </c>
      <c r="R120" s="37">
        <v>42460</v>
      </c>
      <c r="S120" s="35" t="s">
        <v>87</v>
      </c>
      <c r="T120" s="38">
        <v>18206609.399999999</v>
      </c>
      <c r="U120" s="39"/>
      <c r="V120" s="131"/>
      <c r="W120" s="38">
        <v>0</v>
      </c>
      <c r="X120" s="38">
        <f>+T120*0.235*0.3</f>
        <v>1283565.9626999998</v>
      </c>
      <c r="Y120" s="132">
        <f>+T120-X120-Z120</f>
        <v>15830646.873300001</v>
      </c>
      <c r="Z120" s="38">
        <f>+T120*0.06</f>
        <v>1092396.5639999998</v>
      </c>
      <c r="AA120" s="91">
        <v>0</v>
      </c>
      <c r="AB120" s="91">
        <f>+T120*0.01</f>
        <v>182066.09399999998</v>
      </c>
      <c r="AC120" s="91">
        <f>+AA120*1.15</f>
        <v>0</v>
      </c>
      <c r="AD120" s="91">
        <f t="shared" ref="AD120:AF120" si="39">+AB120*1.15</f>
        <v>209376.00809999998</v>
      </c>
      <c r="AE120" s="91">
        <f t="shared" si="39"/>
        <v>0</v>
      </c>
      <c r="AF120" s="91">
        <f t="shared" si="39"/>
        <v>240782.40931499997</v>
      </c>
      <c r="AG120" s="204">
        <f>+AE120*1.15</f>
        <v>0</v>
      </c>
    </row>
    <row r="121" spans="1:34" s="103" customFormat="1" ht="90" customHeight="1">
      <c r="A121" s="102">
        <f t="shared" si="34"/>
        <v>100</v>
      </c>
      <c r="B121" s="52" t="s">
        <v>408</v>
      </c>
      <c r="C121" s="51" t="s">
        <v>409</v>
      </c>
      <c r="D121" s="35" t="s">
        <v>96</v>
      </c>
      <c r="E121" s="35">
        <v>800013656</v>
      </c>
      <c r="F121" s="36" t="s">
        <v>67</v>
      </c>
      <c r="G121" s="35" t="s">
        <v>48</v>
      </c>
      <c r="H121" s="51" t="s">
        <v>68</v>
      </c>
      <c r="I121" s="34" t="s">
        <v>410</v>
      </c>
      <c r="J121" s="52" t="s">
        <v>70</v>
      </c>
      <c r="K121" s="52" t="s">
        <v>60</v>
      </c>
      <c r="L121" s="51" t="s">
        <v>61</v>
      </c>
      <c r="M121" s="51" t="s">
        <v>117</v>
      </c>
      <c r="N121" s="36" t="s">
        <v>50</v>
      </c>
      <c r="O121" s="51"/>
      <c r="P121" s="51" t="s">
        <v>411</v>
      </c>
      <c r="Q121" s="37">
        <v>42461</v>
      </c>
      <c r="R121" s="37">
        <v>43100</v>
      </c>
      <c r="S121" s="35" t="s">
        <v>96</v>
      </c>
      <c r="T121" s="38">
        <f>1823640*1.07*1.235</f>
        <v>2409849.0780000002</v>
      </c>
      <c r="U121" s="39"/>
      <c r="V121" s="131"/>
      <c r="W121" s="38">
        <v>0</v>
      </c>
      <c r="X121" s="38">
        <v>0</v>
      </c>
      <c r="Y121" s="132">
        <f>+T121*0.235*0.3</f>
        <v>169894.35999900001</v>
      </c>
      <c r="Z121" s="38">
        <f>+T121-Y121</f>
        <v>2239954.7180010001</v>
      </c>
      <c r="AA121" s="91">
        <v>0</v>
      </c>
      <c r="AB121" s="91">
        <v>0</v>
      </c>
      <c r="AC121" s="91">
        <v>0</v>
      </c>
      <c r="AD121" s="91">
        <v>0</v>
      </c>
      <c r="AE121" s="91">
        <v>0</v>
      </c>
      <c r="AF121" s="91">
        <v>0</v>
      </c>
      <c r="AG121" s="204">
        <v>0</v>
      </c>
    </row>
    <row r="122" spans="1:34" s="103" customFormat="1" ht="90" customHeight="1">
      <c r="A122" s="102">
        <f t="shared" si="34"/>
        <v>101</v>
      </c>
      <c r="B122" s="52" t="s">
        <v>381</v>
      </c>
      <c r="C122" s="51" t="s">
        <v>412</v>
      </c>
      <c r="D122" s="35" t="s">
        <v>65</v>
      </c>
      <c r="E122" s="35">
        <v>800013870</v>
      </c>
      <c r="F122" s="36" t="s">
        <v>67</v>
      </c>
      <c r="G122" s="35" t="s">
        <v>48</v>
      </c>
      <c r="H122" s="51" t="s">
        <v>68</v>
      </c>
      <c r="I122" s="34" t="s">
        <v>105</v>
      </c>
      <c r="J122" s="52" t="s">
        <v>70</v>
      </c>
      <c r="K122" s="52" t="s">
        <v>60</v>
      </c>
      <c r="L122" s="51" t="s">
        <v>61</v>
      </c>
      <c r="M122" s="51" t="s">
        <v>117</v>
      </c>
      <c r="N122" s="36" t="s">
        <v>50</v>
      </c>
      <c r="O122" s="51"/>
      <c r="P122" s="51" t="s">
        <v>413</v>
      </c>
      <c r="Q122" s="37">
        <v>42461</v>
      </c>
      <c r="R122" s="37">
        <v>43100</v>
      </c>
      <c r="S122" s="35" t="s">
        <v>96</v>
      </c>
      <c r="T122" s="38">
        <v>26000000</v>
      </c>
      <c r="U122" s="39"/>
      <c r="V122" s="131"/>
      <c r="W122" s="38">
        <v>0</v>
      </c>
      <c r="X122" s="38">
        <v>0</v>
      </c>
      <c r="Y122" s="132">
        <v>2181000</v>
      </c>
      <c r="Z122" s="38">
        <f>+T122-Y122-AA122</f>
        <v>22259000</v>
      </c>
      <c r="AA122" s="91">
        <f>+T122*0.06</f>
        <v>1560000</v>
      </c>
      <c r="AB122" s="91"/>
      <c r="AC122" s="91">
        <f>+T122*0.01</f>
        <v>260000</v>
      </c>
      <c r="AD122" s="91"/>
      <c r="AE122" s="91">
        <f>+AC122*1.15</f>
        <v>299000</v>
      </c>
      <c r="AF122" s="91"/>
      <c r="AG122" s="204">
        <f t="shared" ref="AG122:AG127" si="40">+AE122*1.15</f>
        <v>343850</v>
      </c>
    </row>
    <row r="123" spans="1:34" s="103" customFormat="1" ht="90" customHeight="1">
      <c r="A123" s="102">
        <f t="shared" si="34"/>
        <v>102</v>
      </c>
      <c r="B123" s="52" t="s">
        <v>414</v>
      </c>
      <c r="C123" s="51" t="s">
        <v>415</v>
      </c>
      <c r="D123" s="35" t="s">
        <v>73</v>
      </c>
      <c r="E123" s="35">
        <v>800014365</v>
      </c>
      <c r="F123" s="36" t="s">
        <v>67</v>
      </c>
      <c r="G123" s="35" t="s">
        <v>48</v>
      </c>
      <c r="H123" s="51" t="s">
        <v>68</v>
      </c>
      <c r="I123" s="34" t="s">
        <v>69</v>
      </c>
      <c r="J123" s="52" t="s">
        <v>70</v>
      </c>
      <c r="K123" s="52" t="s">
        <v>60</v>
      </c>
      <c r="L123" s="51" t="s">
        <v>61</v>
      </c>
      <c r="M123" s="51" t="s">
        <v>117</v>
      </c>
      <c r="N123" s="36" t="s">
        <v>50</v>
      </c>
      <c r="O123" s="51"/>
      <c r="P123" s="51" t="s">
        <v>416</v>
      </c>
      <c r="Q123" s="37">
        <v>42461</v>
      </c>
      <c r="R123" s="37">
        <v>43100</v>
      </c>
      <c r="S123" s="35" t="s">
        <v>96</v>
      </c>
      <c r="T123" s="38">
        <v>18000000</v>
      </c>
      <c r="U123" s="39"/>
      <c r="V123" s="131"/>
      <c r="W123" s="38">
        <v>0</v>
      </c>
      <c r="X123" s="38">
        <v>0</v>
      </c>
      <c r="Y123" s="132">
        <f>+T123*0.235*0.3</f>
        <v>1269000</v>
      </c>
      <c r="Z123" s="38">
        <f>+T123-Y123-AA123</f>
        <v>15831000</v>
      </c>
      <c r="AA123" s="91">
        <f>+T123*0.05</f>
        <v>900000</v>
      </c>
      <c r="AB123" s="91">
        <v>0</v>
      </c>
      <c r="AC123" s="91">
        <f>+AA123*0.1</f>
        <v>90000</v>
      </c>
      <c r="AD123" s="91">
        <v>0</v>
      </c>
      <c r="AE123" s="91">
        <f>+AC123*1.15</f>
        <v>103499.99999999999</v>
      </c>
      <c r="AF123" s="91">
        <v>0</v>
      </c>
      <c r="AG123" s="204">
        <f t="shared" si="40"/>
        <v>119024.99999999997</v>
      </c>
    </row>
    <row r="124" spans="1:34" s="103" customFormat="1" ht="90" customHeight="1">
      <c r="A124" s="102">
        <f t="shared" si="34"/>
        <v>103</v>
      </c>
      <c r="B124" s="52" t="s">
        <v>417</v>
      </c>
      <c r="C124" s="51" t="s">
        <v>418</v>
      </c>
      <c r="D124" s="35" t="s">
        <v>65</v>
      </c>
      <c r="E124" s="35">
        <v>800014506</v>
      </c>
      <c r="F124" s="36" t="s">
        <v>67</v>
      </c>
      <c r="G124" s="35" t="s">
        <v>48</v>
      </c>
      <c r="H124" s="51" t="s">
        <v>57</v>
      </c>
      <c r="I124" s="34" t="s">
        <v>351</v>
      </c>
      <c r="J124" s="52" t="s">
        <v>352</v>
      </c>
      <c r="K124" s="52" t="s">
        <v>60</v>
      </c>
      <c r="L124" s="51" t="s">
        <v>61</v>
      </c>
      <c r="M124" s="51" t="s">
        <v>117</v>
      </c>
      <c r="N124" s="36" t="s">
        <v>50</v>
      </c>
      <c r="O124" s="51"/>
      <c r="P124" s="51" t="s">
        <v>419</v>
      </c>
      <c r="Q124" s="37">
        <v>42461</v>
      </c>
      <c r="R124" s="37">
        <v>43100</v>
      </c>
      <c r="S124" s="35" t="s">
        <v>96</v>
      </c>
      <c r="T124" s="38">
        <v>30000000</v>
      </c>
      <c r="U124" s="39"/>
      <c r="V124" s="131"/>
      <c r="W124" s="38">
        <v>0</v>
      </c>
      <c r="X124" s="38">
        <v>0</v>
      </c>
      <c r="Y124" s="132">
        <f>+T124*0.235*0.3</f>
        <v>2115000</v>
      </c>
      <c r="Z124" s="38">
        <f>+T124-Y124-AA124</f>
        <v>26085000</v>
      </c>
      <c r="AA124" s="91">
        <f>+T124*0.06</f>
        <v>1800000</v>
      </c>
      <c r="AB124" s="91">
        <v>0</v>
      </c>
      <c r="AC124" s="91">
        <f>+T124*0.01</f>
        <v>300000</v>
      </c>
      <c r="AD124" s="91">
        <v>0</v>
      </c>
      <c r="AE124" s="91">
        <f>+T124*0.01</f>
        <v>300000</v>
      </c>
      <c r="AF124" s="91">
        <v>0</v>
      </c>
      <c r="AG124" s="204">
        <f t="shared" si="40"/>
        <v>345000</v>
      </c>
    </row>
    <row r="125" spans="1:34" s="103" customFormat="1" ht="90" customHeight="1">
      <c r="A125" s="102">
        <f t="shared" si="34"/>
        <v>104</v>
      </c>
      <c r="B125" s="52" t="s">
        <v>420</v>
      </c>
      <c r="C125" s="51" t="s">
        <v>421</v>
      </c>
      <c r="D125" s="35" t="s">
        <v>65</v>
      </c>
      <c r="E125" s="35">
        <v>800034979</v>
      </c>
      <c r="F125" s="36" t="s">
        <v>67</v>
      </c>
      <c r="G125" s="35" t="s">
        <v>48</v>
      </c>
      <c r="H125" s="51" t="s">
        <v>74</v>
      </c>
      <c r="I125" s="34" t="s">
        <v>389</v>
      </c>
      <c r="J125" s="52" t="s">
        <v>75</v>
      </c>
      <c r="K125" s="52" t="s">
        <v>60</v>
      </c>
      <c r="L125" s="51" t="s">
        <v>61</v>
      </c>
      <c r="M125" s="51" t="s">
        <v>117</v>
      </c>
      <c r="N125" s="36" t="s">
        <v>50</v>
      </c>
      <c r="O125" s="51"/>
      <c r="P125" s="51" t="s">
        <v>422</v>
      </c>
      <c r="Q125" s="37">
        <v>41730</v>
      </c>
      <c r="R125" s="37">
        <v>42460</v>
      </c>
      <c r="S125" s="35" t="s">
        <v>96</v>
      </c>
      <c r="T125" s="38">
        <v>19852125.300000001</v>
      </c>
      <c r="U125" s="39"/>
      <c r="V125" s="131"/>
      <c r="W125" s="38">
        <v>0</v>
      </c>
      <c r="X125" s="38">
        <v>0</v>
      </c>
      <c r="Y125" s="132">
        <f>+T125*0.235*0.3</f>
        <v>1399574.8336499997</v>
      </c>
      <c r="Z125" s="38">
        <f>+T125-Y125-AA125</f>
        <v>17261422.948350001</v>
      </c>
      <c r="AA125" s="91">
        <f>+T125*0.06</f>
        <v>1191127.5179999999</v>
      </c>
      <c r="AB125" s="91">
        <v>0</v>
      </c>
      <c r="AC125" s="91">
        <f>+AA125*0.1</f>
        <v>119112.7518</v>
      </c>
      <c r="AD125" s="91">
        <v>0</v>
      </c>
      <c r="AE125" s="91">
        <f>+AC125*1.15</f>
        <v>136979.66456999999</v>
      </c>
      <c r="AF125" s="91">
        <v>0</v>
      </c>
      <c r="AG125" s="204">
        <f t="shared" si="40"/>
        <v>157526.61425549997</v>
      </c>
    </row>
    <row r="126" spans="1:34" s="103" customFormat="1" ht="90" customHeight="1">
      <c r="A126" s="102">
        <f t="shared" si="34"/>
        <v>105</v>
      </c>
      <c r="B126" s="52" t="s">
        <v>423</v>
      </c>
      <c r="C126" s="51" t="s">
        <v>424</v>
      </c>
      <c r="D126" s="35" t="s">
        <v>65</v>
      </c>
      <c r="E126" s="35">
        <v>800035072</v>
      </c>
      <c r="F126" s="36" t="s">
        <v>67</v>
      </c>
      <c r="G126" s="35" t="s">
        <v>48</v>
      </c>
      <c r="H126" s="51" t="s">
        <v>74</v>
      </c>
      <c r="I126" s="34" t="s">
        <v>425</v>
      </c>
      <c r="J126" s="52" t="s">
        <v>75</v>
      </c>
      <c r="K126" s="52" t="s">
        <v>60</v>
      </c>
      <c r="L126" s="51" t="s">
        <v>61</v>
      </c>
      <c r="M126" s="51" t="s">
        <v>117</v>
      </c>
      <c r="N126" s="36" t="s">
        <v>50</v>
      </c>
      <c r="O126" s="51"/>
      <c r="P126" s="51" t="s">
        <v>426</v>
      </c>
      <c r="Q126" s="37">
        <v>41730</v>
      </c>
      <c r="R126" s="37">
        <v>42369</v>
      </c>
      <c r="S126" s="35" t="s">
        <v>52</v>
      </c>
      <c r="T126" s="38">
        <f>+(3*((1141850+1714473+2097122)/9)+3658606+1293526+1350713+18*(1022001/14)+929210+300000+1050000+150000)*1.23*1.07</f>
        <v>15394690.999128573</v>
      </c>
      <c r="U126" s="39"/>
      <c r="V126" s="131"/>
      <c r="W126" s="38">
        <v>700000</v>
      </c>
      <c r="X126" s="38">
        <f>+T126-Y126-W126</f>
        <v>13771009.539180858</v>
      </c>
      <c r="Y126" s="132">
        <f>+T126*0.06</f>
        <v>923681.45994771435</v>
      </c>
      <c r="Z126" s="38">
        <v>0</v>
      </c>
      <c r="AA126" s="91">
        <f>+T126*0.01</f>
        <v>153946.90999128573</v>
      </c>
      <c r="AB126" s="91">
        <v>0</v>
      </c>
      <c r="AC126" s="91">
        <f>+AA126*1.15</f>
        <v>177038.94648997858</v>
      </c>
      <c r="AD126" s="91">
        <v>0</v>
      </c>
      <c r="AE126" s="91">
        <f>+AC126*1.15</f>
        <v>203594.78846347536</v>
      </c>
      <c r="AF126" s="91">
        <v>0</v>
      </c>
      <c r="AG126" s="204">
        <f t="shared" si="40"/>
        <v>234134.00673299664</v>
      </c>
    </row>
    <row r="127" spans="1:34" s="103" customFormat="1" ht="90" customHeight="1">
      <c r="A127" s="102">
        <f t="shared" si="34"/>
        <v>106</v>
      </c>
      <c r="B127" s="52" t="s">
        <v>427</v>
      </c>
      <c r="C127" s="51" t="s">
        <v>428</v>
      </c>
      <c r="D127" s="35" t="s">
        <v>73</v>
      </c>
      <c r="E127" s="35">
        <v>800032631</v>
      </c>
      <c r="F127" s="36" t="s">
        <v>67</v>
      </c>
      <c r="G127" s="35" t="s">
        <v>48</v>
      </c>
      <c r="H127" s="51" t="s">
        <v>74</v>
      </c>
      <c r="I127" s="34" t="s">
        <v>429</v>
      </c>
      <c r="J127" s="52" t="s">
        <v>430</v>
      </c>
      <c r="K127" s="52"/>
      <c r="L127" s="51" t="s">
        <v>61</v>
      </c>
      <c r="M127" s="51" t="s">
        <v>117</v>
      </c>
      <c r="N127" s="36" t="s">
        <v>50</v>
      </c>
      <c r="O127" s="51"/>
      <c r="P127" s="51" t="s">
        <v>431</v>
      </c>
      <c r="Q127" s="37">
        <v>42461</v>
      </c>
      <c r="R127" s="37">
        <v>43100</v>
      </c>
      <c r="S127" s="35" t="s">
        <v>96</v>
      </c>
      <c r="T127" s="38">
        <v>8000000</v>
      </c>
      <c r="U127" s="39"/>
      <c r="V127" s="131"/>
      <c r="W127" s="38">
        <v>0</v>
      </c>
      <c r="X127" s="38">
        <v>0</v>
      </c>
      <c r="Y127" s="132">
        <f>+T127*0.235*0.3</f>
        <v>564000</v>
      </c>
      <c r="Z127" s="38">
        <f>+T127-Y127-AA127</f>
        <v>7036000</v>
      </c>
      <c r="AA127" s="91">
        <f>+T127*0.05</f>
        <v>400000</v>
      </c>
      <c r="AB127" s="91">
        <v>0</v>
      </c>
      <c r="AC127" s="91">
        <f>+AA127*0.1</f>
        <v>40000</v>
      </c>
      <c r="AD127" s="91">
        <v>0</v>
      </c>
      <c r="AE127" s="91">
        <f>+AC127*1.15</f>
        <v>46000</v>
      </c>
      <c r="AF127" s="91">
        <v>0</v>
      </c>
      <c r="AG127" s="204">
        <f t="shared" si="40"/>
        <v>52899.999999999993</v>
      </c>
    </row>
    <row r="128" spans="1:34" s="103" customFormat="1" ht="90" customHeight="1">
      <c r="A128" s="102">
        <f t="shared" si="34"/>
        <v>107</v>
      </c>
      <c r="B128" s="52" t="s">
        <v>432</v>
      </c>
      <c r="C128" s="51" t="s">
        <v>433</v>
      </c>
      <c r="D128" s="35" t="s">
        <v>65</v>
      </c>
      <c r="E128" s="35">
        <v>800034925</v>
      </c>
      <c r="F128" s="36" t="s">
        <v>67</v>
      </c>
      <c r="G128" s="35" t="s">
        <v>48</v>
      </c>
      <c r="H128" s="51" t="s">
        <v>74</v>
      </c>
      <c r="I128" s="34" t="s">
        <v>309</v>
      </c>
      <c r="J128" s="52" t="s">
        <v>75</v>
      </c>
      <c r="K128" s="52" t="s">
        <v>60</v>
      </c>
      <c r="L128" s="51" t="s">
        <v>61</v>
      </c>
      <c r="M128" s="51" t="s">
        <v>117</v>
      </c>
      <c r="N128" s="36" t="s">
        <v>50</v>
      </c>
      <c r="O128" s="51"/>
      <c r="P128" s="51" t="s">
        <v>1248</v>
      </c>
      <c r="Q128" s="37">
        <v>41730</v>
      </c>
      <c r="R128" s="37">
        <v>42369</v>
      </c>
      <c r="S128" s="35" t="s">
        <v>96</v>
      </c>
      <c r="T128" s="38">
        <f>+(3658606+1293526+1350713+929210+300000+1050000+150000)*1.23*1.07</f>
        <v>11492257.585500002</v>
      </c>
      <c r="U128" s="39"/>
      <c r="V128" s="131"/>
      <c r="W128" s="38">
        <v>0</v>
      </c>
      <c r="X128" s="38">
        <v>0</v>
      </c>
      <c r="Y128" s="38">
        <v>0</v>
      </c>
      <c r="Z128" s="38">
        <v>0</v>
      </c>
      <c r="AA128" s="91">
        <v>0</v>
      </c>
      <c r="AB128" s="91">
        <v>0</v>
      </c>
      <c r="AC128" s="91">
        <v>0</v>
      </c>
      <c r="AD128" s="91">
        <v>0</v>
      </c>
      <c r="AE128" s="91">
        <v>0</v>
      </c>
      <c r="AF128" s="91">
        <f>+T128*0.235*0.3</f>
        <v>810204.15977775003</v>
      </c>
      <c r="AG128" s="204">
        <f>+T128-AH128</f>
        <v>10802722.130370002</v>
      </c>
      <c r="AH128" s="103">
        <f>+T128*0.06</f>
        <v>689535.45513000013</v>
      </c>
    </row>
    <row r="129" spans="1:62" s="103" customFormat="1" ht="90" customHeight="1">
      <c r="A129" s="102">
        <f t="shared" si="34"/>
        <v>108</v>
      </c>
      <c r="B129" s="52" t="s">
        <v>434</v>
      </c>
      <c r="C129" s="51" t="s">
        <v>435</v>
      </c>
      <c r="D129" s="35" t="s">
        <v>73</v>
      </c>
      <c r="E129" s="35">
        <v>800017996</v>
      </c>
      <c r="F129" s="36" t="s">
        <v>67</v>
      </c>
      <c r="G129" s="35" t="s">
        <v>48</v>
      </c>
      <c r="H129" s="51" t="s">
        <v>57</v>
      </c>
      <c r="I129" s="34" t="s">
        <v>266</v>
      </c>
      <c r="J129" s="51" t="s">
        <v>782</v>
      </c>
      <c r="K129" s="52" t="s">
        <v>60</v>
      </c>
      <c r="L129" s="51" t="s">
        <v>262</v>
      </c>
      <c r="M129" s="51" t="s">
        <v>298</v>
      </c>
      <c r="N129" s="36" t="s">
        <v>50</v>
      </c>
      <c r="O129" s="51"/>
      <c r="P129" s="51" t="s">
        <v>436</v>
      </c>
      <c r="Q129" s="37">
        <v>42826</v>
      </c>
      <c r="R129" s="37">
        <v>43190</v>
      </c>
      <c r="S129" s="35" t="s">
        <v>96</v>
      </c>
      <c r="T129" s="38">
        <v>15000000</v>
      </c>
      <c r="U129" s="39"/>
      <c r="V129" s="131"/>
      <c r="W129" s="38">
        <v>0</v>
      </c>
      <c r="X129" s="38">
        <v>0</v>
      </c>
      <c r="Y129" s="132">
        <v>750000</v>
      </c>
      <c r="Z129" s="38">
        <f>+T129-Y129-AA129</f>
        <v>13350000</v>
      </c>
      <c r="AA129" s="91">
        <f>+T129*0.06</f>
        <v>900000</v>
      </c>
      <c r="AB129" s="91"/>
      <c r="AC129" s="91">
        <f>+AA129*0.1</f>
        <v>90000</v>
      </c>
      <c r="AD129" s="91">
        <v>0</v>
      </c>
      <c r="AE129" s="91">
        <f>+AC129*1.15</f>
        <v>103499.99999999999</v>
      </c>
      <c r="AF129" s="91">
        <v>0</v>
      </c>
      <c r="AG129" s="204">
        <f>+AE129*1.15</f>
        <v>119024.99999999997</v>
      </c>
      <c r="AL129" s="103">
        <f>SUM(BK129:BV129)</f>
        <v>0</v>
      </c>
      <c r="AM129" s="103">
        <v>39845.173041894348</v>
      </c>
      <c r="AN129" s="103">
        <v>119535.51912568304</v>
      </c>
      <c r="AO129" s="103">
        <v>199225.86520947178</v>
      </c>
      <c r="AP129" s="103">
        <v>278916.21129326039</v>
      </c>
      <c r="AQ129" s="103">
        <v>358606.55737704958</v>
      </c>
      <c r="AR129" s="103">
        <v>438296.90346083755</v>
      </c>
      <c r="AS129" s="103">
        <v>517987.2495446268</v>
      </c>
      <c r="AT129" s="103">
        <v>597677.59562841477</v>
      </c>
      <c r="AU129" s="103">
        <v>677367.94171220483</v>
      </c>
      <c r="AV129" s="103">
        <v>757058.2877959935</v>
      </c>
      <c r="AW129" s="103">
        <v>836748.63387977937</v>
      </c>
      <c r="AX129" s="103">
        <v>916438.97996357083</v>
      </c>
      <c r="AY129" s="103">
        <v>996129.3260473581</v>
      </c>
      <c r="AZ129" s="103">
        <v>1075819.6721311491</v>
      </c>
      <c r="BA129" s="103">
        <v>1142269.1607117839</v>
      </c>
      <c r="BB129" s="103">
        <v>1059472.9344729334</v>
      </c>
      <c r="BC129" s="103">
        <v>934829.05982905999</v>
      </c>
      <c r="BD129" s="103">
        <v>810185.1851851847</v>
      </c>
      <c r="BE129" s="103">
        <v>685541.31054131128</v>
      </c>
      <c r="BF129" s="103">
        <v>560897.43589743413</v>
      </c>
      <c r="BG129" s="103">
        <v>436253.56125356071</v>
      </c>
      <c r="BH129" s="103">
        <v>311609.68660968915</v>
      </c>
      <c r="BI129" s="103">
        <v>186965.811965812</v>
      </c>
      <c r="BJ129" s="103">
        <v>62321.937321936712</v>
      </c>
    </row>
    <row r="130" spans="1:62" s="103" customFormat="1" ht="90" customHeight="1">
      <c r="A130" s="102">
        <f t="shared" si="34"/>
        <v>109</v>
      </c>
      <c r="B130" s="52" t="s">
        <v>437</v>
      </c>
      <c r="C130" s="51" t="s">
        <v>438</v>
      </c>
      <c r="D130" s="35" t="s">
        <v>65</v>
      </c>
      <c r="E130" s="35">
        <v>800017947</v>
      </c>
      <c r="F130" s="36" t="s">
        <v>67</v>
      </c>
      <c r="G130" s="35" t="s">
        <v>48</v>
      </c>
      <c r="H130" s="51" t="s">
        <v>74</v>
      </c>
      <c r="I130" s="34" t="s">
        <v>429</v>
      </c>
      <c r="J130" s="52" t="s">
        <v>430</v>
      </c>
      <c r="K130" s="52"/>
      <c r="L130" s="51" t="s">
        <v>61</v>
      </c>
      <c r="M130" s="51" t="s">
        <v>117</v>
      </c>
      <c r="N130" s="36" t="s">
        <v>50</v>
      </c>
      <c r="O130" s="51"/>
      <c r="P130" s="51" t="s">
        <v>439</v>
      </c>
      <c r="Q130" s="37">
        <v>42461</v>
      </c>
      <c r="R130" s="37">
        <v>43100</v>
      </c>
      <c r="S130" s="35" t="s">
        <v>96</v>
      </c>
      <c r="T130" s="38">
        <f>+(((5*((1141850+1714473+2097122)/9)+1350713+929210)*1.07)+450000+8*25000)*1.23</f>
        <v>7421900.5294666672</v>
      </c>
      <c r="U130" s="39"/>
      <c r="V130" s="131"/>
      <c r="W130" s="38">
        <v>0</v>
      </c>
      <c r="X130" s="38">
        <v>0</v>
      </c>
      <c r="Y130" s="132">
        <f>+T130*0.235*0.3</f>
        <v>523243.98732739995</v>
      </c>
      <c r="Z130" s="38">
        <f>+T130-Y130-AA130</f>
        <v>6898656.5421392675</v>
      </c>
      <c r="AA130" s="91">
        <v>0</v>
      </c>
      <c r="AB130" s="91">
        <f>+T130*0.01</f>
        <v>74219.005294666669</v>
      </c>
      <c r="AC130" s="91">
        <v>0</v>
      </c>
      <c r="AD130" s="91">
        <f>+AB130*1.15</f>
        <v>85351.856088866669</v>
      </c>
      <c r="AE130" s="91">
        <v>0</v>
      </c>
      <c r="AF130" s="91">
        <f>+AD130*1.15</f>
        <v>98154.634502196655</v>
      </c>
      <c r="AG130" s="204">
        <v>0</v>
      </c>
    </row>
    <row r="131" spans="1:62" s="103" customFormat="1" ht="90" customHeight="1">
      <c r="A131" s="102">
        <f t="shared" si="34"/>
        <v>110</v>
      </c>
      <c r="B131" s="52" t="s">
        <v>440</v>
      </c>
      <c r="C131" s="51" t="s">
        <v>441</v>
      </c>
      <c r="D131" s="35" t="s">
        <v>65</v>
      </c>
      <c r="E131" s="35">
        <v>800020206</v>
      </c>
      <c r="F131" s="36" t="s">
        <v>67</v>
      </c>
      <c r="G131" s="35" t="s">
        <v>48</v>
      </c>
      <c r="H131" s="51" t="s">
        <v>68</v>
      </c>
      <c r="I131" s="34" t="s">
        <v>69</v>
      </c>
      <c r="J131" s="52" t="s">
        <v>70</v>
      </c>
      <c r="K131" s="52" t="s">
        <v>60</v>
      </c>
      <c r="L131" s="51" t="s">
        <v>61</v>
      </c>
      <c r="M131" s="51" t="s">
        <v>117</v>
      </c>
      <c r="N131" s="36" t="s">
        <v>50</v>
      </c>
      <c r="O131" s="51"/>
      <c r="P131" s="51" t="s">
        <v>642</v>
      </c>
      <c r="Q131" s="37">
        <v>42461</v>
      </c>
      <c r="R131" s="37">
        <v>43100</v>
      </c>
      <c r="S131" s="35" t="s">
        <v>96</v>
      </c>
      <c r="T131" s="38">
        <f>+(3658606+1293526+1350713+4298671+23*(1022001/14)+1350000+929210+350000+750000+150000)*1.23*1.07</f>
        <v>20807182.550764289</v>
      </c>
      <c r="U131" s="39"/>
      <c r="V131" s="131"/>
      <c r="W131" s="38">
        <v>0</v>
      </c>
      <c r="X131" s="38">
        <v>0</v>
      </c>
      <c r="Y131" s="132">
        <f>+T131*0.235*0.3</f>
        <v>1466906.3698288822</v>
      </c>
      <c r="Z131" s="38">
        <f>+T131-Y131-AA131</f>
        <v>18299917.05339719</v>
      </c>
      <c r="AA131" s="91">
        <f>+T131*0.05</f>
        <v>1040359.1275382144</v>
      </c>
      <c r="AB131" s="91">
        <v>0</v>
      </c>
      <c r="AC131" s="91">
        <f>+AA131*0.1</f>
        <v>104035.91275382145</v>
      </c>
      <c r="AD131" s="91">
        <v>0</v>
      </c>
      <c r="AE131" s="91">
        <f>+AC131*1.15</f>
        <v>119641.29966689466</v>
      </c>
      <c r="AF131" s="91">
        <v>0</v>
      </c>
      <c r="AG131" s="204">
        <f>+AE131*1.15</f>
        <v>137587.49461692886</v>
      </c>
    </row>
    <row r="132" spans="1:62" s="103" customFormat="1" ht="90" customHeight="1">
      <c r="A132" s="102">
        <f t="shared" si="34"/>
        <v>111</v>
      </c>
      <c r="B132" s="52" t="s">
        <v>442</v>
      </c>
      <c r="C132" s="51" t="s">
        <v>443</v>
      </c>
      <c r="D132" s="35" t="s">
        <v>73</v>
      </c>
      <c r="E132" s="35">
        <v>800020362</v>
      </c>
      <c r="F132" s="36" t="s">
        <v>67</v>
      </c>
      <c r="G132" s="35" t="s">
        <v>48</v>
      </c>
      <c r="H132" s="51" t="s">
        <v>97</v>
      </c>
      <c r="I132" s="34" t="s">
        <v>168</v>
      </c>
      <c r="J132" s="52" t="s">
        <v>169</v>
      </c>
      <c r="K132" s="52" t="s">
        <v>60</v>
      </c>
      <c r="L132" s="51" t="s">
        <v>262</v>
      </c>
      <c r="M132" s="51" t="s">
        <v>298</v>
      </c>
      <c r="N132" s="36" t="s">
        <v>50</v>
      </c>
      <c r="O132" s="51"/>
      <c r="P132" s="51" t="s">
        <v>444</v>
      </c>
      <c r="Q132" s="37">
        <v>42826</v>
      </c>
      <c r="R132" s="37">
        <v>43190</v>
      </c>
      <c r="S132" s="35" t="s">
        <v>52</v>
      </c>
      <c r="T132" s="38">
        <f>+(14*190000+450000+(1247367+1293526+1350713+4298671+929210+1050000)*1.07)*1.23</f>
        <v>17209361.840700001</v>
      </c>
      <c r="U132" s="39"/>
      <c r="V132" s="131"/>
      <c r="W132" s="38">
        <v>0</v>
      </c>
      <c r="X132" s="38">
        <f>+T132*0.35</f>
        <v>6023276.6442449996</v>
      </c>
      <c r="Y132" s="38">
        <f>+T132-X132</f>
        <v>11186085.196455002</v>
      </c>
      <c r="Z132" s="38">
        <v>0</v>
      </c>
      <c r="AA132" s="91">
        <f>+T132*0.01</f>
        <v>172093.618407</v>
      </c>
      <c r="AB132" s="91">
        <v>0</v>
      </c>
      <c r="AC132" s="91">
        <f>+AA132*1.15</f>
        <v>197907.66116804999</v>
      </c>
      <c r="AD132" s="91">
        <v>0</v>
      </c>
      <c r="AE132" s="91">
        <f>+AC132*1.15</f>
        <v>227593.81034325747</v>
      </c>
      <c r="AF132" s="91">
        <v>0</v>
      </c>
      <c r="AG132" s="204">
        <f>+AE132*1.15</f>
        <v>261732.88189474607</v>
      </c>
    </row>
    <row r="133" spans="1:62" s="103" customFormat="1" ht="90" customHeight="1">
      <c r="A133" s="102">
        <f t="shared" si="34"/>
        <v>112</v>
      </c>
      <c r="B133" s="52" t="s">
        <v>445</v>
      </c>
      <c r="C133" s="51" t="s">
        <v>446</v>
      </c>
      <c r="D133" s="35" t="s">
        <v>65</v>
      </c>
      <c r="E133" s="35">
        <v>800020719</v>
      </c>
      <c r="F133" s="36" t="s">
        <v>67</v>
      </c>
      <c r="G133" s="35" t="s">
        <v>48</v>
      </c>
      <c r="H133" s="51" t="s">
        <v>97</v>
      </c>
      <c r="I133" s="34" t="s">
        <v>168</v>
      </c>
      <c r="J133" s="52" t="s">
        <v>169</v>
      </c>
      <c r="K133" s="52" t="s">
        <v>60</v>
      </c>
      <c r="L133" s="51" t="s">
        <v>262</v>
      </c>
      <c r="M133" s="51" t="s">
        <v>298</v>
      </c>
      <c r="N133" s="36" t="s">
        <v>50</v>
      </c>
      <c r="O133" s="51"/>
      <c r="P133" s="51" t="s">
        <v>447</v>
      </c>
      <c r="Q133" s="37">
        <v>42461</v>
      </c>
      <c r="R133" s="37">
        <v>42643</v>
      </c>
      <c r="S133" s="35" t="s">
        <v>87</v>
      </c>
      <c r="T133" s="38">
        <v>3000000</v>
      </c>
      <c r="U133" s="39"/>
      <c r="V133" s="131"/>
      <c r="W133" s="38">
        <v>0</v>
      </c>
      <c r="X133" s="38">
        <f>+T133*0.235*0.3</f>
        <v>211500</v>
      </c>
      <c r="Y133" s="132">
        <f>+T133-X133</f>
        <v>2788500</v>
      </c>
      <c r="Z133" s="38">
        <v>0</v>
      </c>
      <c r="AA133" s="91">
        <v>0</v>
      </c>
      <c r="AB133" s="91">
        <v>0</v>
      </c>
      <c r="AC133" s="91">
        <v>0</v>
      </c>
      <c r="AD133" s="91">
        <v>0</v>
      </c>
      <c r="AE133" s="91">
        <v>0</v>
      </c>
      <c r="AF133" s="91">
        <v>0</v>
      </c>
      <c r="AG133" s="204">
        <v>0</v>
      </c>
    </row>
    <row r="134" spans="1:62" s="103" customFormat="1" ht="90" customHeight="1">
      <c r="A134" s="102">
        <f t="shared" si="34"/>
        <v>113</v>
      </c>
      <c r="B134" s="52" t="s">
        <v>448</v>
      </c>
      <c r="C134" s="51" t="s">
        <v>449</v>
      </c>
      <c r="D134" s="35" t="s">
        <v>65</v>
      </c>
      <c r="E134" s="35">
        <v>800021618</v>
      </c>
      <c r="F134" s="36" t="s">
        <v>67</v>
      </c>
      <c r="G134" s="35" t="s">
        <v>48</v>
      </c>
      <c r="H134" s="51" t="s">
        <v>57</v>
      </c>
      <c r="I134" s="34" t="s">
        <v>450</v>
      </c>
      <c r="J134" s="52" t="s">
        <v>188</v>
      </c>
      <c r="K134" s="52" t="s">
        <v>60</v>
      </c>
      <c r="L134" s="51" t="s">
        <v>61</v>
      </c>
      <c r="M134" s="51" t="s">
        <v>117</v>
      </c>
      <c r="N134" s="36" t="s">
        <v>50</v>
      </c>
      <c r="O134" s="51"/>
      <c r="P134" s="51" t="s">
        <v>451</v>
      </c>
      <c r="Q134" s="37">
        <v>42461</v>
      </c>
      <c r="R134" s="37">
        <v>43100</v>
      </c>
      <c r="S134" s="35" t="s">
        <v>96</v>
      </c>
      <c r="T134" s="38">
        <v>18000000</v>
      </c>
      <c r="U134" s="39"/>
      <c r="V134" s="131"/>
      <c r="W134" s="38">
        <v>0</v>
      </c>
      <c r="X134" s="38">
        <v>0</v>
      </c>
      <c r="Y134" s="132">
        <v>900000</v>
      </c>
      <c r="Z134" s="38">
        <v>17100000</v>
      </c>
      <c r="AA134" s="91">
        <v>0</v>
      </c>
      <c r="AB134" s="91">
        <f>+T134*0.01</f>
        <v>180000</v>
      </c>
      <c r="AC134" s="91">
        <v>0</v>
      </c>
      <c r="AD134" s="91">
        <f>+AB134*1.15</f>
        <v>206999.99999999997</v>
      </c>
      <c r="AE134" s="91">
        <v>0</v>
      </c>
      <c r="AF134" s="91">
        <f>+AD134*1.15</f>
        <v>238049.99999999994</v>
      </c>
      <c r="AG134" s="204">
        <v>0</v>
      </c>
    </row>
    <row r="135" spans="1:62" s="103" customFormat="1" ht="90" customHeight="1">
      <c r="A135" s="102">
        <f t="shared" si="34"/>
        <v>114</v>
      </c>
      <c r="B135" s="52" t="s">
        <v>452</v>
      </c>
      <c r="C135" s="51" t="s">
        <v>453</v>
      </c>
      <c r="D135" s="35" t="s">
        <v>73</v>
      </c>
      <c r="E135" s="35">
        <v>800025965</v>
      </c>
      <c r="F135" s="36" t="s">
        <v>187</v>
      </c>
      <c r="G135" s="35" t="s">
        <v>48</v>
      </c>
      <c r="H135" s="51" t="s">
        <v>57</v>
      </c>
      <c r="I135" s="34" t="s">
        <v>454</v>
      </c>
      <c r="J135" s="52" t="s">
        <v>188</v>
      </c>
      <c r="K135" s="52" t="s">
        <v>60</v>
      </c>
      <c r="L135" s="51" t="s">
        <v>61</v>
      </c>
      <c r="M135" s="51" t="s">
        <v>7</v>
      </c>
      <c r="N135" s="36" t="s">
        <v>181</v>
      </c>
      <c r="O135" s="51"/>
      <c r="P135" s="51" t="s">
        <v>455</v>
      </c>
      <c r="Q135" s="37">
        <v>41913</v>
      </c>
      <c r="R135" s="37">
        <v>42277</v>
      </c>
      <c r="S135" s="35" t="s">
        <v>52</v>
      </c>
      <c r="T135" s="38">
        <v>12400000</v>
      </c>
      <c r="U135" s="39"/>
      <c r="V135" s="131"/>
      <c r="W135" s="38">
        <v>7000000</v>
      </c>
      <c r="X135" s="38">
        <v>5400000</v>
      </c>
      <c r="Y135" s="38">
        <v>0</v>
      </c>
      <c r="Z135" s="38">
        <v>0</v>
      </c>
      <c r="AA135" s="91"/>
      <c r="AB135" s="91"/>
      <c r="AC135" s="91"/>
      <c r="AD135" s="91"/>
      <c r="AE135" s="91"/>
      <c r="AF135" s="91"/>
      <c r="AG135" s="204"/>
    </row>
    <row r="136" spans="1:62" s="103" customFormat="1" ht="90" customHeight="1">
      <c r="A136" s="102">
        <f t="shared" si="34"/>
        <v>115</v>
      </c>
      <c r="B136" s="52" t="s">
        <v>456</v>
      </c>
      <c r="C136" s="51" t="s">
        <v>457</v>
      </c>
      <c r="D136" s="35" t="s">
        <v>65</v>
      </c>
      <c r="E136" s="35">
        <v>800035236</v>
      </c>
      <c r="F136" s="36" t="s">
        <v>67</v>
      </c>
      <c r="G136" s="35" t="s">
        <v>48</v>
      </c>
      <c r="H136" s="51" t="s">
        <v>74</v>
      </c>
      <c r="I136" s="34" t="s">
        <v>458</v>
      </c>
      <c r="J136" s="52" t="s">
        <v>75</v>
      </c>
      <c r="K136" s="52" t="s">
        <v>60</v>
      </c>
      <c r="L136" s="51" t="s">
        <v>49</v>
      </c>
      <c r="M136" s="51" t="s">
        <v>100</v>
      </c>
      <c r="N136" s="36" t="s">
        <v>50</v>
      </c>
      <c r="O136" s="51"/>
      <c r="P136" s="51" t="s">
        <v>459</v>
      </c>
      <c r="Q136" s="37">
        <v>42125</v>
      </c>
      <c r="R136" s="37">
        <v>42735</v>
      </c>
      <c r="S136" s="35" t="s">
        <v>96</v>
      </c>
      <c r="T136" s="38">
        <v>20000000</v>
      </c>
      <c r="U136" s="39"/>
      <c r="V136" s="131"/>
      <c r="W136" s="38">
        <v>0</v>
      </c>
      <c r="X136" s="38">
        <v>0</v>
      </c>
      <c r="Y136" s="132">
        <f>+T136*0.235*0.3</f>
        <v>1410000</v>
      </c>
      <c r="Z136" s="38">
        <f>+T136-Y136-AA136</f>
        <v>17390000</v>
      </c>
      <c r="AA136" s="91">
        <f>+T136*0.06</f>
        <v>1200000</v>
      </c>
      <c r="AB136" s="91">
        <v>0</v>
      </c>
      <c r="AC136" s="91">
        <f>+T136*0.01</f>
        <v>200000</v>
      </c>
      <c r="AD136" s="91">
        <v>0</v>
      </c>
      <c r="AE136" s="91">
        <f>+AC136*1.15</f>
        <v>229999.99999999997</v>
      </c>
      <c r="AF136" s="91">
        <v>0</v>
      </c>
      <c r="AG136" s="204">
        <f>+AE136*1.15</f>
        <v>264499.99999999994</v>
      </c>
    </row>
    <row r="137" spans="1:62" s="103" customFormat="1" ht="90" customHeight="1">
      <c r="A137" s="102">
        <f t="shared" si="34"/>
        <v>116</v>
      </c>
      <c r="B137" s="52" t="s">
        <v>460</v>
      </c>
      <c r="C137" s="51" t="s">
        <v>461</v>
      </c>
      <c r="D137" s="35" t="s">
        <v>73</v>
      </c>
      <c r="E137" s="35">
        <v>800029322</v>
      </c>
      <c r="F137" s="36" t="s">
        <v>187</v>
      </c>
      <c r="G137" s="35" t="s">
        <v>48</v>
      </c>
      <c r="H137" s="51" t="s">
        <v>68</v>
      </c>
      <c r="I137" s="34" t="s">
        <v>105</v>
      </c>
      <c r="J137" s="52" t="s">
        <v>70</v>
      </c>
      <c r="K137" s="52" t="s">
        <v>60</v>
      </c>
      <c r="L137" s="51" t="s">
        <v>61</v>
      </c>
      <c r="M137" s="51" t="s">
        <v>7</v>
      </c>
      <c r="N137" s="36" t="s">
        <v>181</v>
      </c>
      <c r="O137" s="51"/>
      <c r="P137" s="51" t="s">
        <v>462</v>
      </c>
      <c r="Q137" s="37">
        <v>41913</v>
      </c>
      <c r="R137" s="37">
        <v>42277</v>
      </c>
      <c r="S137" s="35" t="s">
        <v>52</v>
      </c>
      <c r="T137" s="38">
        <v>14000000</v>
      </c>
      <c r="U137" s="39"/>
      <c r="V137" s="131"/>
      <c r="W137" s="38">
        <v>7000000</v>
      </c>
      <c r="X137" s="38">
        <v>7000000</v>
      </c>
      <c r="Y137" s="38">
        <v>0</v>
      </c>
      <c r="Z137" s="38">
        <v>0</v>
      </c>
      <c r="AA137" s="91">
        <v>0</v>
      </c>
      <c r="AB137" s="91">
        <v>0</v>
      </c>
      <c r="AC137" s="91">
        <v>0</v>
      </c>
      <c r="AD137" s="91">
        <v>0</v>
      </c>
      <c r="AE137" s="91">
        <v>0</v>
      </c>
      <c r="AF137" s="91">
        <v>0</v>
      </c>
      <c r="AG137" s="204">
        <v>0</v>
      </c>
    </row>
    <row r="138" spans="1:62" s="103" customFormat="1" ht="90" customHeight="1">
      <c r="A138" s="102">
        <f t="shared" si="34"/>
        <v>117</v>
      </c>
      <c r="B138" s="52" t="s">
        <v>463</v>
      </c>
      <c r="C138" s="51" t="s">
        <v>1106</v>
      </c>
      <c r="D138" s="35" t="s">
        <v>1126</v>
      </c>
      <c r="E138" s="35">
        <v>800002683</v>
      </c>
      <c r="F138" s="36" t="s">
        <v>67</v>
      </c>
      <c r="G138" s="35" t="s">
        <v>48</v>
      </c>
      <c r="H138" s="51" t="s">
        <v>97</v>
      </c>
      <c r="I138" s="34" t="s">
        <v>214</v>
      </c>
      <c r="J138" s="52" t="s">
        <v>169</v>
      </c>
      <c r="K138" s="52" t="s">
        <v>60</v>
      </c>
      <c r="L138" s="51" t="s">
        <v>49</v>
      </c>
      <c r="M138" s="51" t="s">
        <v>100</v>
      </c>
      <c r="N138" s="36" t="s">
        <v>50</v>
      </c>
      <c r="O138" s="51"/>
      <c r="P138" s="51" t="s">
        <v>464</v>
      </c>
      <c r="Q138" s="37">
        <v>42491</v>
      </c>
      <c r="R138" s="37">
        <v>42735</v>
      </c>
      <c r="S138" s="35" t="s">
        <v>96</v>
      </c>
      <c r="T138" s="38">
        <f>+((1141850*7+1293526+1350713+929210+22*1022001/14+4298671+1050000+150000)*1.07+2000000+14*25000)*1.23</f>
        <v>27463497.295157142</v>
      </c>
      <c r="U138" s="39"/>
      <c r="V138" s="131"/>
      <c r="W138" s="38">
        <v>0</v>
      </c>
      <c r="X138" s="38">
        <v>0</v>
      </c>
      <c r="Y138" s="132">
        <f>+T138*0.235*0.3</f>
        <v>1936176.5593085783</v>
      </c>
      <c r="Z138" s="38">
        <f>+T138-Y138-AA138</f>
        <v>23879510.898139138</v>
      </c>
      <c r="AA138" s="91">
        <f>+T138*0.06</f>
        <v>1647809.8377094285</v>
      </c>
      <c r="AB138" s="91">
        <v>0</v>
      </c>
      <c r="AC138" s="91">
        <f>+T138*0.01</f>
        <v>274634.9729515714</v>
      </c>
      <c r="AD138" s="91">
        <v>0</v>
      </c>
      <c r="AE138" s="91">
        <f>+AC138*1.15</f>
        <v>315830.21889430709</v>
      </c>
      <c r="AF138" s="91">
        <v>0</v>
      </c>
      <c r="AG138" s="204">
        <f>+AE138*1.15</f>
        <v>363204.75172845315</v>
      </c>
    </row>
    <row r="139" spans="1:62" s="103" customFormat="1" ht="90" customHeight="1">
      <c r="A139" s="102">
        <f t="shared" si="34"/>
        <v>118</v>
      </c>
      <c r="B139" s="52" t="s">
        <v>465</v>
      </c>
      <c r="C139" s="51" t="s">
        <v>466</v>
      </c>
      <c r="D139" s="35" t="s">
        <v>65</v>
      </c>
      <c r="E139" s="35">
        <v>800035184</v>
      </c>
      <c r="F139" s="36" t="s">
        <v>67</v>
      </c>
      <c r="G139" s="35" t="s">
        <v>48</v>
      </c>
      <c r="H139" s="51" t="s">
        <v>74</v>
      </c>
      <c r="I139" s="34" t="s">
        <v>467</v>
      </c>
      <c r="J139" s="52" t="s">
        <v>75</v>
      </c>
      <c r="K139" s="52" t="s">
        <v>60</v>
      </c>
      <c r="L139" s="51" t="s">
        <v>49</v>
      </c>
      <c r="M139" s="51" t="s">
        <v>100</v>
      </c>
      <c r="N139" s="36" t="s">
        <v>50</v>
      </c>
      <c r="O139" s="51"/>
      <c r="P139" s="51" t="s">
        <v>468</v>
      </c>
      <c r="Q139" s="37">
        <v>42125</v>
      </c>
      <c r="R139" s="37">
        <v>42735</v>
      </c>
      <c r="S139" s="35" t="s">
        <v>96</v>
      </c>
      <c r="T139" s="38">
        <v>28000000</v>
      </c>
      <c r="U139" s="39"/>
      <c r="V139" s="131"/>
      <c r="W139" s="38">
        <v>0</v>
      </c>
      <c r="X139" s="38">
        <v>0</v>
      </c>
      <c r="Y139" s="132">
        <f>+T139*0.235*0.3</f>
        <v>1974000</v>
      </c>
      <c r="Z139" s="38">
        <f>+T139-Y139-AA139</f>
        <v>24346000</v>
      </c>
      <c r="AA139" s="91">
        <f>+T139*0.06</f>
        <v>1680000</v>
      </c>
      <c r="AB139" s="91">
        <v>0</v>
      </c>
      <c r="AC139" s="91">
        <f>+T139*0.01</f>
        <v>280000</v>
      </c>
      <c r="AD139" s="91">
        <v>0</v>
      </c>
      <c r="AE139" s="91">
        <f>+AC139*1.15</f>
        <v>322000</v>
      </c>
      <c r="AF139" s="91">
        <v>0</v>
      </c>
      <c r="AG139" s="204">
        <f>+AE139*1.15</f>
        <v>370300</v>
      </c>
    </row>
    <row r="140" spans="1:62" s="103" customFormat="1" ht="90" customHeight="1">
      <c r="A140" s="102">
        <f t="shared" si="34"/>
        <v>119</v>
      </c>
      <c r="B140" s="52" t="s">
        <v>469</v>
      </c>
      <c r="C140" s="51" t="s">
        <v>470</v>
      </c>
      <c r="D140" s="35" t="s">
        <v>65</v>
      </c>
      <c r="E140" s="35">
        <v>800035154</v>
      </c>
      <c r="F140" s="36" t="s">
        <v>67</v>
      </c>
      <c r="G140" s="35" t="s">
        <v>48</v>
      </c>
      <c r="H140" s="51" t="s">
        <v>74</v>
      </c>
      <c r="I140" s="34" t="s">
        <v>204</v>
      </c>
      <c r="J140" s="52" t="s">
        <v>75</v>
      </c>
      <c r="K140" s="52" t="s">
        <v>60</v>
      </c>
      <c r="L140" s="51" t="s">
        <v>61</v>
      </c>
      <c r="M140" s="51" t="s">
        <v>117</v>
      </c>
      <c r="N140" s="36" t="s">
        <v>50</v>
      </c>
      <c r="O140" s="51"/>
      <c r="P140" s="51" t="s">
        <v>471</v>
      </c>
      <c r="Q140" s="37">
        <v>42125</v>
      </c>
      <c r="R140" s="37">
        <v>42735</v>
      </c>
      <c r="S140" s="35" t="s">
        <v>87</v>
      </c>
      <c r="T140" s="38">
        <v>36000000</v>
      </c>
      <c r="U140" s="39"/>
      <c r="V140" s="131"/>
      <c r="W140" s="38">
        <v>0</v>
      </c>
      <c r="X140" s="38">
        <v>800000</v>
      </c>
      <c r="Y140" s="132">
        <v>17700000</v>
      </c>
      <c r="Z140" s="38">
        <v>17500000</v>
      </c>
      <c r="AA140" s="91">
        <v>0</v>
      </c>
      <c r="AB140" s="91">
        <f>+T140*0.01</f>
        <v>360000</v>
      </c>
      <c r="AC140" s="91">
        <v>0</v>
      </c>
      <c r="AD140" s="91">
        <f>+AB140*1.15</f>
        <v>413999.99999999994</v>
      </c>
      <c r="AE140" s="91">
        <v>0</v>
      </c>
      <c r="AF140" s="91">
        <f>+AD140*1.15</f>
        <v>476099.99999999988</v>
      </c>
      <c r="AG140" s="204">
        <v>0</v>
      </c>
    </row>
    <row r="141" spans="1:62" s="103" customFormat="1" ht="90" customHeight="1">
      <c r="A141" s="102">
        <f t="shared" si="34"/>
        <v>120</v>
      </c>
      <c r="B141" s="52" t="s">
        <v>472</v>
      </c>
      <c r="C141" s="51" t="s">
        <v>473</v>
      </c>
      <c r="D141" s="35" t="s">
        <v>474</v>
      </c>
      <c r="E141" s="35">
        <v>800034941</v>
      </c>
      <c r="F141" s="36" t="s">
        <v>67</v>
      </c>
      <c r="G141" s="35" t="s">
        <v>48</v>
      </c>
      <c r="H141" s="51" t="s">
        <v>74</v>
      </c>
      <c r="I141" s="34" t="s">
        <v>79</v>
      </c>
      <c r="J141" s="52" t="s">
        <v>75</v>
      </c>
      <c r="K141" s="52" t="s">
        <v>60</v>
      </c>
      <c r="L141" s="51" t="s">
        <v>49</v>
      </c>
      <c r="M141" s="51" t="s">
        <v>100</v>
      </c>
      <c r="N141" s="36" t="s">
        <v>50</v>
      </c>
      <c r="O141" s="51"/>
      <c r="P141" s="51" t="s">
        <v>1035</v>
      </c>
      <c r="Q141" s="37">
        <v>41883</v>
      </c>
      <c r="R141" s="37">
        <v>42277</v>
      </c>
      <c r="S141" s="35" t="s">
        <v>87</v>
      </c>
      <c r="T141" s="38">
        <f>+(12*((1141850+1714473+2097122)/9)+3658606+10*(1022001/14)+1350000+929210+300000+750000+150000)*1.23*1.07</f>
        <v>19047138.863671429</v>
      </c>
      <c r="U141" s="39"/>
      <c r="V141" s="131"/>
      <c r="W141" s="38">
        <v>0</v>
      </c>
      <c r="X141" s="38">
        <f>+T141*0.235*0.3</f>
        <v>1342823.2898888357</v>
      </c>
      <c r="Y141" s="132">
        <f>+T141-X141</f>
        <v>17704315.573782593</v>
      </c>
      <c r="Z141" s="38">
        <f>+T141*0.06</f>
        <v>1142828.3318202856</v>
      </c>
      <c r="AA141" s="91">
        <v>0</v>
      </c>
      <c r="AB141" s="91">
        <f>+T141*0.01</f>
        <v>190471.38863671428</v>
      </c>
      <c r="AC141" s="91">
        <f>+AA141*1.13</f>
        <v>0</v>
      </c>
      <c r="AD141" s="91">
        <f>+AB141*1.15</f>
        <v>219042.09693222141</v>
      </c>
      <c r="AE141" s="91">
        <f t="shared" ref="AE141" si="41">+AC141*1.13</f>
        <v>0</v>
      </c>
      <c r="AF141" s="91">
        <f>+AD141*1.15</f>
        <v>251898.41147205461</v>
      </c>
      <c r="AG141" s="204">
        <f>+AE141*1.15</f>
        <v>0</v>
      </c>
    </row>
    <row r="142" spans="1:62" s="103" customFormat="1" ht="90" customHeight="1">
      <c r="A142" s="102">
        <f t="shared" si="34"/>
        <v>121</v>
      </c>
      <c r="B142" s="52" t="s">
        <v>475</v>
      </c>
      <c r="C142" s="51" t="s">
        <v>476</v>
      </c>
      <c r="D142" s="35" t="s">
        <v>65</v>
      </c>
      <c r="E142" s="35">
        <v>800010843</v>
      </c>
      <c r="F142" s="36" t="s">
        <v>67</v>
      </c>
      <c r="G142" s="35" t="s">
        <v>48</v>
      </c>
      <c r="H142" s="51" t="s">
        <v>57</v>
      </c>
      <c r="I142" s="34" t="s">
        <v>157</v>
      </c>
      <c r="J142" s="52" t="s">
        <v>158</v>
      </c>
      <c r="K142" s="52"/>
      <c r="L142" s="51" t="s">
        <v>49</v>
      </c>
      <c r="M142" s="51" t="s">
        <v>100</v>
      </c>
      <c r="N142" s="36" t="s">
        <v>50</v>
      </c>
      <c r="O142" s="51"/>
      <c r="P142" s="51" t="s">
        <v>477</v>
      </c>
      <c r="Q142" s="37">
        <v>41730</v>
      </c>
      <c r="R142" s="37">
        <v>42368</v>
      </c>
      <c r="S142" s="35" t="s">
        <v>87</v>
      </c>
      <c r="T142" s="38">
        <v>18000000</v>
      </c>
      <c r="U142" s="39"/>
      <c r="V142" s="131"/>
      <c r="W142" s="38">
        <v>0</v>
      </c>
      <c r="X142" s="38">
        <v>200000</v>
      </c>
      <c r="Y142" s="132">
        <v>17800000</v>
      </c>
      <c r="Z142" s="38">
        <v>0</v>
      </c>
      <c r="AA142" s="91">
        <f>+T142*0.01</f>
        <v>180000</v>
      </c>
      <c r="AB142" s="91">
        <v>0</v>
      </c>
      <c r="AC142" s="91">
        <f>+AA142*1.15</f>
        <v>206999.99999999997</v>
      </c>
      <c r="AD142" s="91">
        <v>0</v>
      </c>
      <c r="AE142" s="91">
        <f>+AC142*1.15</f>
        <v>238049.99999999994</v>
      </c>
      <c r="AF142" s="91">
        <v>0</v>
      </c>
      <c r="AG142" s="204">
        <f>+AE142*1.15</f>
        <v>273757.49999999988</v>
      </c>
    </row>
    <row r="143" spans="1:62" s="103" customFormat="1" ht="90" customHeight="1">
      <c r="A143" s="102">
        <f t="shared" si="34"/>
        <v>122</v>
      </c>
      <c r="B143" s="52"/>
      <c r="C143" s="51" t="s">
        <v>983</v>
      </c>
      <c r="D143" s="35" t="s">
        <v>73</v>
      </c>
      <c r="E143" s="35">
        <v>800035197</v>
      </c>
      <c r="F143" s="36" t="s">
        <v>67</v>
      </c>
      <c r="G143" s="35" t="s">
        <v>48</v>
      </c>
      <c r="H143" s="51" t="s">
        <v>74</v>
      </c>
      <c r="I143" s="34" t="s">
        <v>467</v>
      </c>
      <c r="J143" s="52" t="s">
        <v>75</v>
      </c>
      <c r="K143" s="52" t="s">
        <v>60</v>
      </c>
      <c r="L143" s="51" t="s">
        <v>49</v>
      </c>
      <c r="M143" s="51" t="s">
        <v>100</v>
      </c>
      <c r="N143" s="36" t="s">
        <v>50</v>
      </c>
      <c r="O143" s="51"/>
      <c r="P143" s="51" t="s">
        <v>1029</v>
      </c>
      <c r="Q143" s="37"/>
      <c r="R143" s="37"/>
      <c r="S143" s="35" t="s">
        <v>96</v>
      </c>
      <c r="T143" s="38">
        <f>+(1823640+12*((1141850+1714473+2097122)/9)+1293526+1247367+1350713*3+4298671+15*(1022001/14)+929210+300000+750000+150000)*1.23*1.07</f>
        <v>29670352.399407141</v>
      </c>
      <c r="U143" s="39"/>
      <c r="V143" s="131"/>
      <c r="W143" s="38">
        <v>0</v>
      </c>
      <c r="X143" s="38">
        <v>0</v>
      </c>
      <c r="Y143" s="38">
        <v>0</v>
      </c>
      <c r="Z143" s="38">
        <v>0</v>
      </c>
      <c r="AA143" s="91">
        <v>0</v>
      </c>
      <c r="AB143" s="91">
        <f>+T143*0.235*0.3</f>
        <v>2091759.8441582033</v>
      </c>
      <c r="AC143" s="91">
        <f>+T143-AB143-AD143</f>
        <v>25798371.41128451</v>
      </c>
      <c r="AD143" s="91">
        <f>+T143*0.06</f>
        <v>1780221.1439644285</v>
      </c>
      <c r="AE143" s="91">
        <v>0</v>
      </c>
      <c r="AF143" s="91">
        <f>+T143*0.01</f>
        <v>296703.52399407141</v>
      </c>
      <c r="AG143" s="204">
        <v>0</v>
      </c>
    </row>
    <row r="144" spans="1:62" s="103" customFormat="1" ht="90" customHeight="1">
      <c r="A144" s="102">
        <f t="shared" si="34"/>
        <v>123</v>
      </c>
      <c r="B144" s="52"/>
      <c r="C144" s="51" t="s">
        <v>984</v>
      </c>
      <c r="D144" s="35" t="s">
        <v>65</v>
      </c>
      <c r="E144" s="35">
        <v>800035759</v>
      </c>
      <c r="F144" s="36" t="s">
        <v>67</v>
      </c>
      <c r="G144" s="35" t="s">
        <v>48</v>
      </c>
      <c r="H144" s="51" t="s">
        <v>74</v>
      </c>
      <c r="I144" s="34" t="s">
        <v>467</v>
      </c>
      <c r="J144" s="52" t="s">
        <v>75</v>
      </c>
      <c r="K144" s="52" t="s">
        <v>60</v>
      </c>
      <c r="L144" s="51" t="s">
        <v>49</v>
      </c>
      <c r="M144" s="51" t="s">
        <v>100</v>
      </c>
      <c r="N144" s="36" t="s">
        <v>50</v>
      </c>
      <c r="O144" s="51"/>
      <c r="P144" s="51" t="s">
        <v>1030</v>
      </c>
      <c r="Q144" s="37"/>
      <c r="R144" s="37"/>
      <c r="S144" s="35" t="s">
        <v>96</v>
      </c>
      <c r="T144" s="38">
        <f>+(1823640+10*((1141850+1714473+2097122)/9)+1293526+1247367+1350713*3+4298671+17*(1022001/14)+929210+300000+750000+150000)*1.23*1.07</f>
        <v>28413785.639754761</v>
      </c>
      <c r="U144" s="39"/>
      <c r="V144" s="131"/>
      <c r="W144" s="38">
        <v>0</v>
      </c>
      <c r="X144" s="38">
        <v>0</v>
      </c>
      <c r="Y144" s="38">
        <v>0</v>
      </c>
      <c r="Z144" s="38">
        <v>0</v>
      </c>
      <c r="AA144" s="91">
        <v>0</v>
      </c>
      <c r="AB144" s="91">
        <f>+T144*0.235*0.3</f>
        <v>2003171.8876027104</v>
      </c>
      <c r="AC144" s="91">
        <f>+T144-AB144-AD144</f>
        <v>24705786.613766767</v>
      </c>
      <c r="AD144" s="91">
        <f>+T144*0.06</f>
        <v>1704827.1383852856</v>
      </c>
      <c r="AE144" s="91">
        <v>0</v>
      </c>
      <c r="AF144" s="91">
        <f>+T144*0.01</f>
        <v>284137.85639754764</v>
      </c>
      <c r="AG144" s="204">
        <v>0</v>
      </c>
    </row>
    <row r="145" spans="1:34" s="103" customFormat="1" ht="90" customHeight="1">
      <c r="A145" s="102">
        <f t="shared" si="34"/>
        <v>124</v>
      </c>
      <c r="B145" s="52"/>
      <c r="C145" s="51" t="s">
        <v>985</v>
      </c>
      <c r="D145" s="35" t="s">
        <v>65</v>
      </c>
      <c r="E145" s="35">
        <v>800034851</v>
      </c>
      <c r="F145" s="36" t="s">
        <v>67</v>
      </c>
      <c r="G145" s="35" t="s">
        <v>48</v>
      </c>
      <c r="H145" s="51" t="s">
        <v>74</v>
      </c>
      <c r="I145" s="34" t="s">
        <v>467</v>
      </c>
      <c r="J145" s="52" t="s">
        <v>75</v>
      </c>
      <c r="K145" s="52" t="s">
        <v>60</v>
      </c>
      <c r="L145" s="51" t="s">
        <v>49</v>
      </c>
      <c r="M145" s="51" t="s">
        <v>100</v>
      </c>
      <c r="N145" s="36" t="s">
        <v>50</v>
      </c>
      <c r="O145" s="51"/>
      <c r="P145" s="51" t="s">
        <v>1031</v>
      </c>
      <c r="Q145" s="37"/>
      <c r="R145" s="37"/>
      <c r="S145" s="35" t="s">
        <v>87</v>
      </c>
      <c r="T145" s="38">
        <f>+(1823640+9*((1141850+1714473+2097122)/9)+600000)*1.23*1.07</f>
        <v>9708981.568500001</v>
      </c>
      <c r="U145" s="39"/>
      <c r="V145" s="131"/>
      <c r="W145" s="38">
        <v>0</v>
      </c>
      <c r="X145" s="38">
        <f>+T145*0.235*0.3</f>
        <v>684483.20057925011</v>
      </c>
      <c r="Y145" s="38">
        <f>+T145-X145-Z145</f>
        <v>8539049.2894957513</v>
      </c>
      <c r="Z145" s="38">
        <f>+T145*0.05</f>
        <v>485449.07842500007</v>
      </c>
      <c r="AA145" s="91">
        <v>0</v>
      </c>
      <c r="AB145" s="91">
        <v>0</v>
      </c>
      <c r="AC145" s="91">
        <v>0</v>
      </c>
      <c r="AD145" s="91">
        <v>0</v>
      </c>
      <c r="AE145" s="91">
        <v>0</v>
      </c>
      <c r="AF145" s="91">
        <v>0</v>
      </c>
      <c r="AG145" s="204">
        <v>0</v>
      </c>
    </row>
    <row r="146" spans="1:34" s="103" customFormat="1" ht="90" customHeight="1">
      <c r="A146" s="102">
        <f t="shared" si="34"/>
        <v>125</v>
      </c>
      <c r="B146" s="52"/>
      <c r="C146" s="51" t="s">
        <v>986</v>
      </c>
      <c r="D146" s="35" t="s">
        <v>65</v>
      </c>
      <c r="E146" s="35">
        <v>800035510</v>
      </c>
      <c r="F146" s="36" t="s">
        <v>67</v>
      </c>
      <c r="G146" s="35" t="s">
        <v>48</v>
      </c>
      <c r="H146" s="51" t="s">
        <v>74</v>
      </c>
      <c r="I146" s="34" t="s">
        <v>467</v>
      </c>
      <c r="J146" s="52" t="s">
        <v>75</v>
      </c>
      <c r="K146" s="52" t="s">
        <v>60</v>
      </c>
      <c r="L146" s="51" t="s">
        <v>49</v>
      </c>
      <c r="M146" s="51" t="s">
        <v>100</v>
      </c>
      <c r="N146" s="36" t="s">
        <v>50</v>
      </c>
      <c r="O146" s="51"/>
      <c r="P146" s="51" t="s">
        <v>1032</v>
      </c>
      <c r="Q146" s="37"/>
      <c r="R146" s="37"/>
      <c r="S146" s="35" t="s">
        <v>96</v>
      </c>
      <c r="T146" s="38">
        <f>+(1823640+15*((1141850+1714473+2097122)/9)+1293526+1247367+1350713*3+4298671+929210+300000+750000+150000)*1.23*1.07</f>
        <v>30402297.810800001</v>
      </c>
      <c r="U146" s="39"/>
      <c r="V146" s="131"/>
      <c r="W146" s="38">
        <v>0</v>
      </c>
      <c r="X146" s="38">
        <v>0</v>
      </c>
      <c r="Y146" s="38">
        <v>0</v>
      </c>
      <c r="Z146" s="38">
        <f>+T146*0.235*0.3</f>
        <v>2143361.9956613998</v>
      </c>
      <c r="AA146" s="91">
        <f>+T146-Z146-AB146</f>
        <v>26434797.946490601</v>
      </c>
      <c r="AB146" s="91">
        <f>+T146*0.06</f>
        <v>1824137.8686480001</v>
      </c>
      <c r="AC146" s="91">
        <v>0</v>
      </c>
      <c r="AD146" s="91">
        <f>+T146*0.01</f>
        <v>304022.97810800001</v>
      </c>
      <c r="AE146" s="91">
        <v>0</v>
      </c>
      <c r="AF146" s="91">
        <f>+AD146*1.15</f>
        <v>349626.42482419999</v>
      </c>
      <c r="AG146" s="204">
        <v>0</v>
      </c>
    </row>
    <row r="147" spans="1:34" s="103" customFormat="1" ht="90" customHeight="1">
      <c r="A147" s="102">
        <f t="shared" si="34"/>
        <v>126</v>
      </c>
      <c r="B147" s="52"/>
      <c r="C147" s="51" t="s">
        <v>987</v>
      </c>
      <c r="D147" s="35" t="s">
        <v>65</v>
      </c>
      <c r="E147" s="35">
        <v>800034992</v>
      </c>
      <c r="F147" s="36" t="s">
        <v>67</v>
      </c>
      <c r="G147" s="35" t="s">
        <v>48</v>
      </c>
      <c r="H147" s="51" t="s">
        <v>74</v>
      </c>
      <c r="I147" s="34" t="s">
        <v>486</v>
      </c>
      <c r="J147" s="52" t="s">
        <v>75</v>
      </c>
      <c r="K147" s="52" t="s">
        <v>60</v>
      </c>
      <c r="L147" s="51" t="s">
        <v>49</v>
      </c>
      <c r="M147" s="51" t="s">
        <v>100</v>
      </c>
      <c r="N147" s="36" t="s">
        <v>50</v>
      </c>
      <c r="O147" s="51"/>
      <c r="P147" s="51" t="s">
        <v>1040</v>
      </c>
      <c r="Q147" s="37"/>
      <c r="R147" s="37"/>
      <c r="S147" s="35" t="s">
        <v>96</v>
      </c>
      <c r="T147" s="38">
        <f>+(14*((1141850+1714473+2097122)/9)+1293526+1247367+1350713*3+4298671+8*(1022001/14)+1350000+929210+300000+400000+150000)*1.23*1.07</f>
        <v>29362549.585023805</v>
      </c>
      <c r="U147" s="39"/>
      <c r="V147" s="131"/>
      <c r="W147" s="38">
        <v>0</v>
      </c>
      <c r="X147" s="38">
        <v>0</v>
      </c>
      <c r="Y147" s="38">
        <v>0</v>
      </c>
      <c r="Z147" s="38">
        <f>+T147*0.235*0.3</f>
        <v>2070059.7457441781</v>
      </c>
      <c r="AA147" s="91">
        <f>+T147-Z147-AB147</f>
        <v>25530736.864178199</v>
      </c>
      <c r="AB147" s="91">
        <f>+T147*0.06</f>
        <v>1761752.9751014283</v>
      </c>
      <c r="AC147" s="91">
        <v>0</v>
      </c>
      <c r="AD147" s="91">
        <f>+T147*0.01</f>
        <v>293625.49585023808</v>
      </c>
      <c r="AE147" s="91">
        <v>0</v>
      </c>
      <c r="AF147" s="91">
        <f>+AD147*1.15</f>
        <v>337669.32022777374</v>
      </c>
      <c r="AG147" s="204">
        <v>0</v>
      </c>
    </row>
    <row r="148" spans="1:34" s="103" customFormat="1" ht="90" customHeight="1">
      <c r="A148" s="102">
        <f t="shared" si="34"/>
        <v>127</v>
      </c>
      <c r="B148" s="52"/>
      <c r="C148" s="51" t="s">
        <v>988</v>
      </c>
      <c r="D148" s="35" t="s">
        <v>65</v>
      </c>
      <c r="E148" s="35">
        <v>800034890</v>
      </c>
      <c r="F148" s="36" t="s">
        <v>67</v>
      </c>
      <c r="G148" s="35" t="s">
        <v>48</v>
      </c>
      <c r="H148" s="51" t="s">
        <v>74</v>
      </c>
      <c r="I148" s="34" t="s">
        <v>389</v>
      </c>
      <c r="J148" s="52" t="s">
        <v>75</v>
      </c>
      <c r="K148" s="52" t="s">
        <v>60</v>
      </c>
      <c r="L148" s="51" t="s">
        <v>49</v>
      </c>
      <c r="M148" s="51" t="s">
        <v>100</v>
      </c>
      <c r="N148" s="36" t="s">
        <v>50</v>
      </c>
      <c r="O148" s="51"/>
      <c r="P148" s="51" t="s">
        <v>1042</v>
      </c>
      <c r="Q148" s="37"/>
      <c r="R148" s="37"/>
      <c r="S148" s="35" t="s">
        <v>96</v>
      </c>
      <c r="T148" s="38">
        <f>+(15*((1141850+1714473+2097122)/9)+1293526+1247367+1350713*3+4298671+14*(1022001/14)+1350000+929210+300000+400000+150000)*1.23*1.07</f>
        <v>30663360.722899996</v>
      </c>
      <c r="U148" s="39"/>
      <c r="V148" s="131"/>
      <c r="W148" s="38">
        <v>0</v>
      </c>
      <c r="X148" s="38">
        <v>0</v>
      </c>
      <c r="Y148" s="38">
        <v>0</v>
      </c>
      <c r="Z148" s="38">
        <f>+T148*0.235*0.3</f>
        <v>2161766.9309644494</v>
      </c>
      <c r="AA148" s="91">
        <f>+T148-Z148-AB148</f>
        <v>26661792.148561548</v>
      </c>
      <c r="AB148" s="91">
        <f>+T148*0.06</f>
        <v>1839801.6433739997</v>
      </c>
      <c r="AC148" s="91">
        <v>0</v>
      </c>
      <c r="AD148" s="91">
        <f>+T148*0.01</f>
        <v>306633.60722899996</v>
      </c>
      <c r="AE148" s="91">
        <v>0</v>
      </c>
      <c r="AF148" s="91">
        <f>+AD148*1.15</f>
        <v>352628.64831334993</v>
      </c>
      <c r="AG148" s="204">
        <v>0</v>
      </c>
    </row>
    <row r="149" spans="1:34" s="103" customFormat="1" ht="90" customHeight="1">
      <c r="A149" s="102">
        <f t="shared" si="34"/>
        <v>128</v>
      </c>
      <c r="B149" s="52"/>
      <c r="C149" s="51" t="s">
        <v>989</v>
      </c>
      <c r="D149" s="35" t="s">
        <v>65</v>
      </c>
      <c r="E149" s="35">
        <v>800034882</v>
      </c>
      <c r="F149" s="36" t="s">
        <v>67</v>
      </c>
      <c r="G149" s="35" t="s">
        <v>48</v>
      </c>
      <c r="H149" s="51" t="s">
        <v>74</v>
      </c>
      <c r="I149" s="34" t="s">
        <v>389</v>
      </c>
      <c r="J149" s="52" t="s">
        <v>75</v>
      </c>
      <c r="K149" s="52" t="s">
        <v>60</v>
      </c>
      <c r="L149" s="51" t="s">
        <v>49</v>
      </c>
      <c r="M149" s="51" t="s">
        <v>100</v>
      </c>
      <c r="N149" s="36" t="s">
        <v>50</v>
      </c>
      <c r="O149" s="51"/>
      <c r="P149" s="51" t="s">
        <v>1041</v>
      </c>
      <c r="Q149" s="37"/>
      <c r="R149" s="37"/>
      <c r="S149" s="35" t="s">
        <v>96</v>
      </c>
      <c r="T149" s="38">
        <f>+(8*((1141850+1714473+2097122)/9)+1293526+1247367+1350713*3+4298671+8*(1022001/14)+1350000+929210+300000+400000+150000)*1.23*1.07</f>
        <v>25016396.94202381</v>
      </c>
      <c r="U149" s="39"/>
      <c r="V149" s="131"/>
      <c r="W149" s="38">
        <v>0</v>
      </c>
      <c r="X149" s="38">
        <v>0</v>
      </c>
      <c r="Y149" s="38">
        <v>0</v>
      </c>
      <c r="Z149" s="38">
        <f>+T149*0.235*0.3</f>
        <v>1763655.9844126785</v>
      </c>
      <c r="AA149" s="91">
        <f>+T149-Z149-AB149</f>
        <v>21751757.141089704</v>
      </c>
      <c r="AB149" s="91">
        <f>+T149*0.06</f>
        <v>1500983.8165214285</v>
      </c>
      <c r="AC149" s="91">
        <v>0</v>
      </c>
      <c r="AD149" s="91">
        <f>+T149*0.01</f>
        <v>250163.96942023811</v>
      </c>
      <c r="AE149" s="91">
        <v>0</v>
      </c>
      <c r="AF149" s="91">
        <f>+AD149*1.15</f>
        <v>287688.56483327382</v>
      </c>
      <c r="AG149" s="204">
        <v>0</v>
      </c>
    </row>
    <row r="150" spans="1:34" s="103" customFormat="1" ht="90" customHeight="1">
      <c r="A150" s="102">
        <f t="shared" si="34"/>
        <v>129</v>
      </c>
      <c r="B150" s="52"/>
      <c r="C150" s="51" t="s">
        <v>990</v>
      </c>
      <c r="D150" s="35" t="s">
        <v>96</v>
      </c>
      <c r="E150" s="35">
        <v>800034886</v>
      </c>
      <c r="F150" s="36" t="s">
        <v>67</v>
      </c>
      <c r="G150" s="35" t="s">
        <v>48</v>
      </c>
      <c r="H150" s="51" t="s">
        <v>74</v>
      </c>
      <c r="I150" s="34" t="s">
        <v>389</v>
      </c>
      <c r="J150" s="52" t="s">
        <v>75</v>
      </c>
      <c r="K150" s="52" t="s">
        <v>60</v>
      </c>
      <c r="L150" s="51" t="s">
        <v>49</v>
      </c>
      <c r="M150" s="51" t="s">
        <v>100</v>
      </c>
      <c r="N150" s="36" t="s">
        <v>50</v>
      </c>
      <c r="O150" s="51"/>
      <c r="P150" s="51" t="s">
        <v>1043</v>
      </c>
      <c r="Q150" s="37"/>
      <c r="R150" s="37"/>
      <c r="S150" s="35" t="s">
        <v>96</v>
      </c>
      <c r="T150" s="38">
        <f>+(1823640+19*((1141850+1714473+2097122)/9)+3658606+1293526+1247367+1350713*3+3500000+4298671+18*(1022001/14)+1350000+600000+350000+929210+300000+750000+150000)*1.23*1.07</f>
        <v>47477561.3548619</v>
      </c>
      <c r="U150" s="39"/>
      <c r="V150" s="131"/>
      <c r="W150" s="38">
        <v>0</v>
      </c>
      <c r="X150" s="38">
        <v>0</v>
      </c>
      <c r="Y150" s="38">
        <v>0</v>
      </c>
      <c r="Z150" s="38">
        <f>+T150*0.235*0.3</f>
        <v>3347168.0755177638</v>
      </c>
      <c r="AA150" s="91">
        <f>+T150-Z150-AB150</f>
        <v>41281739.59805242</v>
      </c>
      <c r="AB150" s="91">
        <f>+T150*0.06</f>
        <v>2848653.6812917138</v>
      </c>
      <c r="AC150" s="91">
        <v>0</v>
      </c>
      <c r="AD150" s="91">
        <f>+T150*0.01</f>
        <v>474775.61354861903</v>
      </c>
      <c r="AE150" s="91">
        <v>0</v>
      </c>
      <c r="AF150" s="91">
        <f>+AD150*1.15</f>
        <v>545991.95558091183</v>
      </c>
      <c r="AG150" s="204">
        <v>0</v>
      </c>
    </row>
    <row r="151" spans="1:34" s="103" customFormat="1" ht="90" customHeight="1">
      <c r="A151" s="102">
        <f t="shared" si="34"/>
        <v>130</v>
      </c>
      <c r="B151" s="52"/>
      <c r="C151" s="51" t="s">
        <v>1039</v>
      </c>
      <c r="D151" s="35" t="s">
        <v>65</v>
      </c>
      <c r="E151" s="35">
        <v>800017764</v>
      </c>
      <c r="F151" s="36" t="s">
        <v>67</v>
      </c>
      <c r="G151" s="35" t="s">
        <v>48</v>
      </c>
      <c r="H151" s="51" t="s">
        <v>74</v>
      </c>
      <c r="I151" s="34" t="s">
        <v>932</v>
      </c>
      <c r="J151" s="52" t="s">
        <v>75</v>
      </c>
      <c r="K151" s="52" t="s">
        <v>60</v>
      </c>
      <c r="L151" s="51" t="s">
        <v>49</v>
      </c>
      <c r="M151" s="51" t="s">
        <v>100</v>
      </c>
      <c r="N151" s="36" t="s">
        <v>50</v>
      </c>
      <c r="O151" s="51"/>
      <c r="P151" s="51" t="s">
        <v>1024</v>
      </c>
      <c r="Q151" s="37"/>
      <c r="R151" s="37"/>
      <c r="S151" s="35" t="s">
        <v>96</v>
      </c>
      <c r="T151" s="38">
        <f>+(2097122+150000)*1.23*1.07</f>
        <v>2957437.2642000001</v>
      </c>
      <c r="U151" s="39"/>
      <c r="V151" s="131"/>
      <c r="W151" s="38">
        <v>0</v>
      </c>
      <c r="X151" s="38">
        <v>0</v>
      </c>
      <c r="Y151" s="38">
        <v>0</v>
      </c>
      <c r="Z151" s="38">
        <v>0</v>
      </c>
      <c r="AA151" s="91">
        <f>+T151*0.235*0.3</f>
        <v>208499.32712609999</v>
      </c>
      <c r="AB151" s="91">
        <f>+T151-AA151</f>
        <v>2748937.9370738999</v>
      </c>
      <c r="AC151" s="91">
        <v>0</v>
      </c>
      <c r="AD151" s="91">
        <v>0</v>
      </c>
      <c r="AE151" s="91">
        <v>0</v>
      </c>
      <c r="AF151" s="91">
        <v>0</v>
      </c>
      <c r="AG151" s="204">
        <v>0</v>
      </c>
    </row>
    <row r="152" spans="1:34" s="103" customFormat="1" ht="90" customHeight="1">
      <c r="A152" s="102">
        <f t="shared" ref="A152:A215" si="42">+A151+1</f>
        <v>131</v>
      </c>
      <c r="B152" s="52"/>
      <c r="C152" s="51" t="s">
        <v>933</v>
      </c>
      <c r="D152" s="35" t="s">
        <v>65</v>
      </c>
      <c r="E152" s="35">
        <v>800022244</v>
      </c>
      <c r="F152" s="36" t="s">
        <v>67</v>
      </c>
      <c r="G152" s="35" t="s">
        <v>48</v>
      </c>
      <c r="H152" s="51" t="s">
        <v>74</v>
      </c>
      <c r="I152" s="34" t="s">
        <v>932</v>
      </c>
      <c r="J152" s="52" t="s">
        <v>75</v>
      </c>
      <c r="K152" s="52" t="s">
        <v>60</v>
      </c>
      <c r="L152" s="51" t="s">
        <v>49</v>
      </c>
      <c r="M152" s="51" t="s">
        <v>100</v>
      </c>
      <c r="N152" s="36" t="s">
        <v>50</v>
      </c>
      <c r="O152" s="51"/>
      <c r="P152" s="51" t="s">
        <v>1033</v>
      </c>
      <c r="Q152" s="37"/>
      <c r="R152" s="37"/>
      <c r="S152" s="35" t="s">
        <v>96</v>
      </c>
      <c r="T152" s="38">
        <f>+(1714473+150000)*1.23*1.07</f>
        <v>2453832.9153</v>
      </c>
      <c r="U152" s="39"/>
      <c r="V152" s="131"/>
      <c r="W152" s="38">
        <v>0</v>
      </c>
      <c r="X152" s="38">
        <v>0</v>
      </c>
      <c r="Y152" s="38">
        <v>0</v>
      </c>
      <c r="Z152" s="38">
        <f>+T152*0.235*0.3</f>
        <v>172995.22052865001</v>
      </c>
      <c r="AA152" s="91">
        <f>+T152-Z152</f>
        <v>2280837.6947713499</v>
      </c>
      <c r="AB152" s="91">
        <v>0</v>
      </c>
      <c r="AC152" s="91">
        <v>0</v>
      </c>
      <c r="AD152" s="91">
        <v>0</v>
      </c>
      <c r="AE152" s="91">
        <v>0</v>
      </c>
      <c r="AF152" s="91">
        <v>0</v>
      </c>
      <c r="AG152" s="204">
        <v>0</v>
      </c>
    </row>
    <row r="153" spans="1:34" s="103" customFormat="1" ht="90" customHeight="1">
      <c r="A153" s="102">
        <f t="shared" si="42"/>
        <v>132</v>
      </c>
      <c r="B153" s="52"/>
      <c r="C153" s="51" t="s">
        <v>532</v>
      </c>
      <c r="D153" s="35" t="s">
        <v>65</v>
      </c>
      <c r="E153" s="35">
        <v>800035131</v>
      </c>
      <c r="F153" s="36" t="s">
        <v>67</v>
      </c>
      <c r="G153" s="35" t="s">
        <v>48</v>
      </c>
      <c r="H153" s="51" t="s">
        <v>74</v>
      </c>
      <c r="I153" s="34" t="s">
        <v>406</v>
      </c>
      <c r="J153" s="52" t="s">
        <v>75</v>
      </c>
      <c r="K153" s="52" t="s">
        <v>60</v>
      </c>
      <c r="L153" s="51" t="s">
        <v>49</v>
      </c>
      <c r="M153" s="51" t="s">
        <v>100</v>
      </c>
      <c r="N153" s="36" t="s">
        <v>50</v>
      </c>
      <c r="O153" s="51"/>
      <c r="P153" s="51" t="s">
        <v>1036</v>
      </c>
      <c r="Q153" s="37"/>
      <c r="R153" s="37"/>
      <c r="S153" s="35" t="s">
        <v>96</v>
      </c>
      <c r="T153" s="38">
        <f>+(6*((1141850+1714473+2097122)/9)+3658606+1293526+6*(1022001/14)+600000+350000+929210+150000)*1.23*1.07</f>
        <v>14110749.213242857</v>
      </c>
      <c r="U153" s="39"/>
      <c r="V153" s="131"/>
      <c r="W153" s="38">
        <v>0</v>
      </c>
      <c r="X153" s="38">
        <v>0</v>
      </c>
      <c r="Y153" s="38">
        <v>0</v>
      </c>
      <c r="Z153" s="38">
        <v>0</v>
      </c>
      <c r="AA153" s="91">
        <f>+T153*0.235*0.3</f>
        <v>994807.81953362131</v>
      </c>
      <c r="AB153" s="91">
        <f>+T153-AA153-AC153</f>
        <v>12269296.440914664</v>
      </c>
      <c r="AC153" s="91">
        <f>+T153*0.06</f>
        <v>846644.95279457141</v>
      </c>
      <c r="AD153" s="91">
        <v>0</v>
      </c>
      <c r="AE153" s="91">
        <f>+T153*0.06</f>
        <v>846644.95279457141</v>
      </c>
      <c r="AF153" s="91">
        <v>0</v>
      </c>
      <c r="AG153" s="204">
        <f>+AE153*1.15</f>
        <v>973641.69571375707</v>
      </c>
    </row>
    <row r="154" spans="1:34" s="103" customFormat="1" ht="90" customHeight="1">
      <c r="A154" s="102">
        <f t="shared" si="42"/>
        <v>133</v>
      </c>
      <c r="B154" s="52"/>
      <c r="C154" s="51" t="s">
        <v>537</v>
      </c>
      <c r="D154" s="35" t="s">
        <v>65</v>
      </c>
      <c r="E154" s="35">
        <v>800035141</v>
      </c>
      <c r="F154" s="36" t="s">
        <v>67</v>
      </c>
      <c r="G154" s="35" t="s">
        <v>48</v>
      </c>
      <c r="H154" s="51" t="s">
        <v>74</v>
      </c>
      <c r="I154" s="34" t="s">
        <v>406</v>
      </c>
      <c r="J154" s="52" t="s">
        <v>75</v>
      </c>
      <c r="K154" s="52" t="s">
        <v>60</v>
      </c>
      <c r="L154" s="51" t="s">
        <v>49</v>
      </c>
      <c r="M154" s="51" t="s">
        <v>100</v>
      </c>
      <c r="N154" s="36" t="s">
        <v>50</v>
      </c>
      <c r="O154" s="51"/>
      <c r="P154" s="51" t="s">
        <v>1037</v>
      </c>
      <c r="Q154" s="37"/>
      <c r="R154" s="37"/>
      <c r="S154" s="35" t="s">
        <v>96</v>
      </c>
      <c r="T154" s="38">
        <f>+(8*((1141850+1714473+2097122)/9)+3658606+8*(1022001/14)+1350000+929210+150000)*1.23*1.07</f>
        <v>14575647.98032381</v>
      </c>
      <c r="U154" s="39"/>
      <c r="V154" s="131"/>
      <c r="W154" s="38">
        <v>0</v>
      </c>
      <c r="X154" s="38">
        <v>0</v>
      </c>
      <c r="Y154" s="38">
        <v>0</v>
      </c>
      <c r="Z154" s="38">
        <v>0</v>
      </c>
      <c r="AA154" s="91">
        <v>0</v>
      </c>
      <c r="AB154" s="91">
        <v>0</v>
      </c>
      <c r="AC154" s="91">
        <v>0</v>
      </c>
      <c r="AD154" s="91">
        <v>0</v>
      </c>
      <c r="AE154" s="91">
        <v>0</v>
      </c>
      <c r="AF154" s="91">
        <f>+T154*0.235*0.3</f>
        <v>1027583.1826128284</v>
      </c>
      <c r="AG154" s="204">
        <f>+T154-AF154-AH154</f>
        <v>12673525.918891553</v>
      </c>
      <c r="AH154" s="103">
        <f>+T154*0.06</f>
        <v>874538.87881942862</v>
      </c>
    </row>
    <row r="155" spans="1:34" s="103" customFormat="1" ht="90" customHeight="1">
      <c r="A155" s="102">
        <f t="shared" si="42"/>
        <v>134</v>
      </c>
      <c r="B155" s="52"/>
      <c r="C155" s="51" t="s">
        <v>991</v>
      </c>
      <c r="D155" s="35" t="s">
        <v>73</v>
      </c>
      <c r="E155" s="35">
        <v>800035145</v>
      </c>
      <c r="F155" s="36" t="s">
        <v>67</v>
      </c>
      <c r="G155" s="35" t="s">
        <v>48</v>
      </c>
      <c r="H155" s="51" t="s">
        <v>74</v>
      </c>
      <c r="I155" s="34" t="s">
        <v>406</v>
      </c>
      <c r="J155" s="52" t="s">
        <v>75</v>
      </c>
      <c r="K155" s="52" t="s">
        <v>60</v>
      </c>
      <c r="L155" s="51" t="s">
        <v>49</v>
      </c>
      <c r="M155" s="51" t="s">
        <v>100</v>
      </c>
      <c r="N155" s="36" t="s">
        <v>50</v>
      </c>
      <c r="O155" s="51"/>
      <c r="P155" s="51" t="s">
        <v>1038</v>
      </c>
      <c r="Q155" s="37"/>
      <c r="R155" s="37"/>
      <c r="S155" s="35" t="s">
        <v>96</v>
      </c>
      <c r="T155" s="38">
        <f>+(20*((1141850+1714473+2097122)/9)+3658606+8*(1022001/14)+350000+929210+150000)*1.23*1.07</f>
        <v>21951853.266323812</v>
      </c>
      <c r="U155" s="39"/>
      <c r="V155" s="131"/>
      <c r="W155" s="38">
        <v>0</v>
      </c>
      <c r="X155" s="38">
        <v>0</v>
      </c>
      <c r="Y155" s="38">
        <v>0</v>
      </c>
      <c r="Z155" s="38">
        <v>0</v>
      </c>
      <c r="AA155" s="91">
        <v>0</v>
      </c>
      <c r="AB155" s="91">
        <f>+T155*0.235*0.3</f>
        <v>1547605.6552758284</v>
      </c>
      <c r="AC155" s="91">
        <f>+T155-AB155-AD155</f>
        <v>19087136.415068556</v>
      </c>
      <c r="AD155" s="91">
        <f>+T155*0.06</f>
        <v>1317111.1959794287</v>
      </c>
      <c r="AE155" s="91">
        <v>0</v>
      </c>
      <c r="AF155" s="91">
        <f>+T155*0.01</f>
        <v>219518.53266323812</v>
      </c>
      <c r="AG155" s="204">
        <v>0</v>
      </c>
    </row>
    <row r="156" spans="1:34" s="103" customFormat="1" ht="90" customHeight="1">
      <c r="A156" s="102">
        <f t="shared" si="42"/>
        <v>135</v>
      </c>
      <c r="B156" s="52"/>
      <c r="C156" s="51" t="s">
        <v>992</v>
      </c>
      <c r="D156" s="35" t="s">
        <v>65</v>
      </c>
      <c r="E156" s="35">
        <v>800034958</v>
      </c>
      <c r="F156" s="36" t="s">
        <v>67</v>
      </c>
      <c r="G156" s="35" t="s">
        <v>48</v>
      </c>
      <c r="H156" s="51" t="s">
        <v>74</v>
      </c>
      <c r="I156" s="34" t="s">
        <v>79</v>
      </c>
      <c r="J156" s="52" t="s">
        <v>75</v>
      </c>
      <c r="K156" s="52" t="s">
        <v>60</v>
      </c>
      <c r="L156" s="51" t="s">
        <v>49</v>
      </c>
      <c r="M156" s="51" t="s">
        <v>100</v>
      </c>
      <c r="N156" s="36" t="s">
        <v>50</v>
      </c>
      <c r="O156" s="51"/>
      <c r="P156" s="51" t="s">
        <v>1034</v>
      </c>
      <c r="Q156" s="37"/>
      <c r="R156" s="37"/>
      <c r="S156" s="35" t="s">
        <v>96</v>
      </c>
      <c r="T156" s="38">
        <f>+(1823640+8*((1141850+1714473+2097122)/9)+3658606+10*(1022001/14)+929210+300000+750000+150000)*1.23*1.07</f>
        <v>16773061.372338098</v>
      </c>
      <c r="U156" s="39"/>
      <c r="V156" s="131"/>
      <c r="W156" s="38">
        <v>0</v>
      </c>
      <c r="X156" s="38">
        <v>0</v>
      </c>
      <c r="Y156" s="38">
        <v>0</v>
      </c>
      <c r="Z156" s="38">
        <v>0</v>
      </c>
      <c r="AA156" s="91">
        <v>0</v>
      </c>
      <c r="AB156" s="91">
        <v>0</v>
      </c>
      <c r="AC156" s="91">
        <f>+T156*0.235*0.3</f>
        <v>1182500.8267498359</v>
      </c>
      <c r="AD156" s="91">
        <f>+T156-AC156-AE156</f>
        <v>14584176.863247976</v>
      </c>
      <c r="AE156" s="91">
        <f>+T156*0.06</f>
        <v>1006383.6823402859</v>
      </c>
      <c r="AF156" s="91">
        <v>0</v>
      </c>
      <c r="AG156" s="204">
        <f>+T156*0.01</f>
        <v>167730.61372338099</v>
      </c>
    </row>
    <row r="157" spans="1:34" s="103" customFormat="1" ht="90" customHeight="1">
      <c r="A157" s="102">
        <f t="shared" si="42"/>
        <v>136</v>
      </c>
      <c r="B157" s="52"/>
      <c r="C157" s="51" t="s">
        <v>993</v>
      </c>
      <c r="D157" s="35" t="s">
        <v>65</v>
      </c>
      <c r="E157" s="35">
        <v>800034916</v>
      </c>
      <c r="F157" s="36" t="s">
        <v>67</v>
      </c>
      <c r="G157" s="35" t="s">
        <v>48</v>
      </c>
      <c r="H157" s="51" t="s">
        <v>74</v>
      </c>
      <c r="I157" s="34" t="s">
        <v>309</v>
      </c>
      <c r="J157" s="52" t="s">
        <v>75</v>
      </c>
      <c r="K157" s="52" t="s">
        <v>60</v>
      </c>
      <c r="L157" s="51" t="s">
        <v>49</v>
      </c>
      <c r="M157" s="51" t="s">
        <v>100</v>
      </c>
      <c r="N157" s="36" t="s">
        <v>50</v>
      </c>
      <c r="O157" s="51"/>
      <c r="P157" s="51" t="s">
        <v>1026</v>
      </c>
      <c r="Q157" s="37"/>
      <c r="R157" s="37"/>
      <c r="S157" s="35" t="s">
        <v>96</v>
      </c>
      <c r="T157" s="38">
        <f>+(1823640+17*((1141850+1714473+2097122)/9)+14*(1022001/14)+1350000+600000+150000)*1.23*1.07</f>
        <v>18823057.275266666</v>
      </c>
      <c r="U157" s="39"/>
      <c r="V157" s="131"/>
      <c r="W157" s="38">
        <v>0</v>
      </c>
      <c r="X157" s="38">
        <v>0</v>
      </c>
      <c r="Y157" s="38">
        <v>0</v>
      </c>
      <c r="Z157" s="38">
        <v>0</v>
      </c>
      <c r="AA157" s="91">
        <f>+T157*0.235*0.3</f>
        <v>1327025.5379062998</v>
      </c>
      <c r="AB157" s="91">
        <f>+T157-AA157-AC157</f>
        <v>16366648.300844366</v>
      </c>
      <c r="AC157" s="91">
        <f>+T157*0.06</f>
        <v>1129383.436516</v>
      </c>
      <c r="AD157" s="91">
        <v>0</v>
      </c>
      <c r="AE157" s="91">
        <f>+T157*0.01</f>
        <v>188230.57275266666</v>
      </c>
      <c r="AF157" s="91">
        <v>0</v>
      </c>
      <c r="AG157" s="204">
        <f>+AE157*1.15</f>
        <v>216465.15866556665</v>
      </c>
    </row>
    <row r="158" spans="1:34" s="103" customFormat="1" ht="90" customHeight="1">
      <c r="A158" s="102">
        <f t="shared" si="42"/>
        <v>137</v>
      </c>
      <c r="B158" s="52"/>
      <c r="C158" s="51" t="s">
        <v>994</v>
      </c>
      <c r="D158" s="35" t="s">
        <v>65</v>
      </c>
      <c r="E158" s="35">
        <v>800034928</v>
      </c>
      <c r="F158" s="36" t="s">
        <v>67</v>
      </c>
      <c r="G158" s="35" t="s">
        <v>48</v>
      </c>
      <c r="H158" s="51" t="s">
        <v>74</v>
      </c>
      <c r="I158" s="34" t="s">
        <v>309</v>
      </c>
      <c r="J158" s="52" t="s">
        <v>75</v>
      </c>
      <c r="K158" s="52" t="s">
        <v>60</v>
      </c>
      <c r="L158" s="51" t="s">
        <v>49</v>
      </c>
      <c r="M158" s="51" t="s">
        <v>100</v>
      </c>
      <c r="N158" s="36" t="s">
        <v>50</v>
      </c>
      <c r="O158" s="51"/>
      <c r="P158" s="51" t="s">
        <v>1027</v>
      </c>
      <c r="Q158" s="37"/>
      <c r="R158" s="37"/>
      <c r="S158" s="35" t="s">
        <v>96</v>
      </c>
      <c r="T158" s="38">
        <f>+(1823640+1714473+4298671+10*(1022001/14)+1350000+600000+150000)*1.23*1.07</f>
        <v>14038555.36247143</v>
      </c>
      <c r="U158" s="39"/>
      <c r="V158" s="131"/>
      <c r="W158" s="38">
        <v>0</v>
      </c>
      <c r="X158" s="38">
        <v>0</v>
      </c>
      <c r="Y158" s="38">
        <v>0</v>
      </c>
      <c r="Z158" s="38">
        <v>0</v>
      </c>
      <c r="AA158" s="91">
        <v>0</v>
      </c>
      <c r="AB158" s="91">
        <v>0</v>
      </c>
      <c r="AC158" s="91">
        <f>+T158*0.235*0.3</f>
        <v>989718.15305423574</v>
      </c>
      <c r="AD158" s="91">
        <f>+T158-AC158-AE158</f>
        <v>12206523.887668908</v>
      </c>
      <c r="AE158" s="91">
        <f>+T158*0.06</f>
        <v>842313.32174828579</v>
      </c>
      <c r="AF158" s="91">
        <v>0</v>
      </c>
      <c r="AG158" s="204">
        <f>+T158*0.01</f>
        <v>140385.55362471429</v>
      </c>
    </row>
    <row r="159" spans="1:34" s="103" customFormat="1" ht="90" customHeight="1">
      <c r="A159" s="102">
        <f t="shared" si="42"/>
        <v>138</v>
      </c>
      <c r="B159" s="52"/>
      <c r="C159" s="51" t="s">
        <v>995</v>
      </c>
      <c r="D159" s="35" t="s">
        <v>73</v>
      </c>
      <c r="E159" s="35">
        <v>800035027</v>
      </c>
      <c r="F159" s="36" t="s">
        <v>67</v>
      </c>
      <c r="G159" s="35" t="s">
        <v>48</v>
      </c>
      <c r="H159" s="51" t="s">
        <v>74</v>
      </c>
      <c r="I159" s="34" t="s">
        <v>228</v>
      </c>
      <c r="J159" s="52" t="s">
        <v>75</v>
      </c>
      <c r="K159" s="52" t="s">
        <v>60</v>
      </c>
      <c r="L159" s="51" t="s">
        <v>49</v>
      </c>
      <c r="M159" s="51" t="s">
        <v>100</v>
      </c>
      <c r="N159" s="36" t="s">
        <v>50</v>
      </c>
      <c r="O159" s="51"/>
      <c r="P159" s="51" t="s">
        <v>1023</v>
      </c>
      <c r="Q159" s="37"/>
      <c r="R159" s="37"/>
      <c r="S159" s="35" t="s">
        <v>96</v>
      </c>
      <c r="T159" s="38">
        <f>+(1714473*4+3658606+1350713+8*(1022001/14)+150000)*1.23*1.07</f>
        <v>16584454.549157143</v>
      </c>
      <c r="U159" s="39"/>
      <c r="V159" s="131"/>
      <c r="W159" s="38">
        <v>0</v>
      </c>
      <c r="X159" s="38">
        <v>0</v>
      </c>
      <c r="Y159" s="38">
        <v>0</v>
      </c>
      <c r="Z159" s="38">
        <v>0</v>
      </c>
      <c r="AA159" s="91">
        <v>0</v>
      </c>
      <c r="AB159" s="91">
        <f>+T159*0.235*0.3</f>
        <v>1169204.0457155784</v>
      </c>
      <c r="AC159" s="91">
        <f>+T159-AB159</f>
        <v>15415250.503441565</v>
      </c>
      <c r="AD159" s="91">
        <v>0</v>
      </c>
      <c r="AE159" s="91">
        <f>+T159*0.01</f>
        <v>165844.54549157142</v>
      </c>
      <c r="AF159" s="91">
        <v>0</v>
      </c>
      <c r="AG159" s="204">
        <f>+AE159*1.15</f>
        <v>190721.22731530713</v>
      </c>
    </row>
    <row r="160" spans="1:34" s="103" customFormat="1" ht="90" customHeight="1">
      <c r="A160" s="102">
        <f t="shared" si="42"/>
        <v>139</v>
      </c>
      <c r="B160" s="52"/>
      <c r="C160" s="51" t="s">
        <v>998</v>
      </c>
      <c r="D160" s="35" t="s">
        <v>65</v>
      </c>
      <c r="E160" s="35">
        <v>800035038</v>
      </c>
      <c r="F160" s="36" t="s">
        <v>67</v>
      </c>
      <c r="G160" s="35" t="s">
        <v>48</v>
      </c>
      <c r="H160" s="51" t="s">
        <v>74</v>
      </c>
      <c r="I160" s="34" t="s">
        <v>228</v>
      </c>
      <c r="J160" s="52" t="s">
        <v>75</v>
      </c>
      <c r="K160" s="52" t="s">
        <v>60</v>
      </c>
      <c r="L160" s="51" t="s">
        <v>49</v>
      </c>
      <c r="M160" s="51" t="s">
        <v>100</v>
      </c>
      <c r="N160" s="36" t="s">
        <v>50</v>
      </c>
      <c r="O160" s="51"/>
      <c r="P160" s="51" t="s">
        <v>1024</v>
      </c>
      <c r="Q160" s="37"/>
      <c r="R160" s="37"/>
      <c r="S160" s="35" t="s">
        <v>96</v>
      </c>
      <c r="T160" s="38">
        <f t="shared" ref="T160" si="43">+(1823640+1714473+4298671+10*(1022001/14)+1350000+600000+150000)*1.23*1.07</f>
        <v>14038555.36247143</v>
      </c>
      <c r="U160" s="39"/>
      <c r="V160" s="131"/>
      <c r="W160" s="38">
        <v>0</v>
      </c>
      <c r="X160" s="38">
        <v>0</v>
      </c>
      <c r="Y160" s="38">
        <v>0</v>
      </c>
      <c r="Z160" s="38">
        <v>0</v>
      </c>
      <c r="AA160" s="91">
        <f>+T160*0.235*0.3</f>
        <v>989718.15305423574</v>
      </c>
      <c r="AB160" s="91">
        <f>+T160-AA160-AC160</f>
        <v>12206523.887668908</v>
      </c>
      <c r="AC160" s="91">
        <f>+T160*0.06</f>
        <v>842313.32174828579</v>
      </c>
      <c r="AD160" s="91">
        <v>0</v>
      </c>
      <c r="AE160" s="91">
        <f>+T160*0.01</f>
        <v>140385.55362471429</v>
      </c>
      <c r="AF160" s="91">
        <v>0</v>
      </c>
      <c r="AG160" s="204">
        <f>+AE160*1.15</f>
        <v>161443.38666842142</v>
      </c>
    </row>
    <row r="161" spans="1:34" s="103" customFormat="1" ht="90" customHeight="1">
      <c r="A161" s="102">
        <f t="shared" si="42"/>
        <v>140</v>
      </c>
      <c r="B161" s="52"/>
      <c r="C161" s="51" t="s">
        <v>238</v>
      </c>
      <c r="D161" s="35" t="s">
        <v>65</v>
      </c>
      <c r="E161" s="35">
        <v>800035033</v>
      </c>
      <c r="F161" s="36" t="s">
        <v>67</v>
      </c>
      <c r="G161" s="35" t="s">
        <v>48</v>
      </c>
      <c r="H161" s="51" t="s">
        <v>74</v>
      </c>
      <c r="I161" s="34" t="s">
        <v>228</v>
      </c>
      <c r="J161" s="52" t="s">
        <v>75</v>
      </c>
      <c r="K161" s="52" t="s">
        <v>60</v>
      </c>
      <c r="L161" s="51" t="s">
        <v>49</v>
      </c>
      <c r="M161" s="51" t="s">
        <v>100</v>
      </c>
      <c r="N161" s="36" t="s">
        <v>50</v>
      </c>
      <c r="O161" s="51"/>
      <c r="P161" s="51" t="s">
        <v>1025</v>
      </c>
      <c r="Q161" s="37"/>
      <c r="R161" s="37"/>
      <c r="S161" s="35" t="s">
        <v>96</v>
      </c>
      <c r="T161" s="38">
        <f>+(1714473*4+14*(1022001/14))*1.23*1.07</f>
        <v>10370727.177300001</v>
      </c>
      <c r="U161" s="39"/>
      <c r="V161" s="131"/>
      <c r="W161" s="38">
        <v>0</v>
      </c>
      <c r="X161" s="38">
        <v>0</v>
      </c>
      <c r="Y161" s="38">
        <v>0</v>
      </c>
      <c r="Z161" s="38">
        <f>+T161*0.235*0.3</f>
        <v>731136.26599964988</v>
      </c>
      <c r="AA161" s="91">
        <f>+T161-Z161-AB161</f>
        <v>9017347.2806623504</v>
      </c>
      <c r="AB161" s="91">
        <f>+T161*0.06</f>
        <v>622243.63063799997</v>
      </c>
      <c r="AC161" s="91">
        <v>0</v>
      </c>
      <c r="AD161" s="91">
        <f>+T161*0.01</f>
        <v>103707.27177300001</v>
      </c>
      <c r="AE161" s="91">
        <v>0</v>
      </c>
      <c r="AF161" s="91">
        <f>+AD161*1.15</f>
        <v>119263.36253895001</v>
      </c>
      <c r="AG161" s="204">
        <v>0</v>
      </c>
    </row>
    <row r="162" spans="1:34" s="103" customFormat="1" ht="90" customHeight="1">
      <c r="A162" s="102">
        <f t="shared" si="42"/>
        <v>141</v>
      </c>
      <c r="B162" s="52"/>
      <c r="C162" s="51" t="s">
        <v>523</v>
      </c>
      <c r="D162" s="35" t="s">
        <v>65</v>
      </c>
      <c r="E162" s="35">
        <v>800035097</v>
      </c>
      <c r="F162" s="36" t="s">
        <v>67</v>
      </c>
      <c r="G162" s="35" t="s">
        <v>48</v>
      </c>
      <c r="H162" s="51" t="s">
        <v>74</v>
      </c>
      <c r="I162" s="34" t="s">
        <v>199</v>
      </c>
      <c r="J162" s="52" t="s">
        <v>75</v>
      </c>
      <c r="K162" s="52" t="s">
        <v>60</v>
      </c>
      <c r="L162" s="51" t="s">
        <v>49</v>
      </c>
      <c r="M162" s="51" t="s">
        <v>100</v>
      </c>
      <c r="N162" s="36" t="s">
        <v>50</v>
      </c>
      <c r="O162" s="51"/>
      <c r="P162" s="51" t="s">
        <v>1020</v>
      </c>
      <c r="Q162" s="37"/>
      <c r="R162" s="37"/>
      <c r="S162" s="35" t="s">
        <v>96</v>
      </c>
      <c r="T162" s="38">
        <f>+(1714473*2+2097122+500000)*1.23*1.07</f>
        <v>7930908.0948000001</v>
      </c>
      <c r="U162" s="39"/>
      <c r="V162" s="131"/>
      <c r="W162" s="38">
        <v>0</v>
      </c>
      <c r="X162" s="38">
        <v>0</v>
      </c>
      <c r="Y162" s="38">
        <v>0</v>
      </c>
      <c r="Z162" s="38">
        <v>0</v>
      </c>
      <c r="AA162" s="91">
        <v>0</v>
      </c>
      <c r="AB162" s="91">
        <v>0</v>
      </c>
      <c r="AC162" s="91">
        <v>0</v>
      </c>
      <c r="AD162" s="91">
        <v>0</v>
      </c>
      <c r="AE162" s="91">
        <f>+T162*0.235*0.3</f>
        <v>559129.02068339998</v>
      </c>
      <c r="AF162" s="91">
        <f>+T162-AE162</f>
        <v>7371779.0741165997</v>
      </c>
      <c r="AG162" s="204">
        <v>0</v>
      </c>
    </row>
    <row r="163" spans="1:34" s="103" customFormat="1" ht="90" customHeight="1">
      <c r="A163" s="102">
        <f t="shared" si="42"/>
        <v>142</v>
      </c>
      <c r="B163" s="52"/>
      <c r="C163" s="51" t="s">
        <v>999</v>
      </c>
      <c r="D163" s="35" t="s">
        <v>65</v>
      </c>
      <c r="E163" s="35">
        <v>800035117</v>
      </c>
      <c r="F163" s="36" t="s">
        <v>67</v>
      </c>
      <c r="G163" s="35" t="s">
        <v>48</v>
      </c>
      <c r="H163" s="51" t="s">
        <v>74</v>
      </c>
      <c r="I163" s="34" t="s">
        <v>199</v>
      </c>
      <c r="J163" s="52" t="s">
        <v>75</v>
      </c>
      <c r="K163" s="52" t="s">
        <v>60</v>
      </c>
      <c r="L163" s="51" t="s">
        <v>49</v>
      </c>
      <c r="M163" s="51" t="s">
        <v>100</v>
      </c>
      <c r="N163" s="36" t="s">
        <v>50</v>
      </c>
      <c r="O163" s="51"/>
      <c r="P163" s="51" t="s">
        <v>1020</v>
      </c>
      <c r="Q163" s="37"/>
      <c r="R163" s="37"/>
      <c r="S163" s="35" t="s">
        <v>96</v>
      </c>
      <c r="T163" s="38">
        <f t="shared" ref="T163:T164" si="44">+(1714473*2+2097122+500000)*1.23*1.07</f>
        <v>7930908.0948000001</v>
      </c>
      <c r="U163" s="39"/>
      <c r="V163" s="131"/>
      <c r="W163" s="38">
        <v>0</v>
      </c>
      <c r="X163" s="38">
        <v>0</v>
      </c>
      <c r="Y163" s="38">
        <v>0</v>
      </c>
      <c r="Z163" s="38">
        <v>0</v>
      </c>
      <c r="AA163" s="91">
        <f>+T163*0.235*0.3</f>
        <v>559129.02068339998</v>
      </c>
      <c r="AB163" s="91">
        <f>+T163-AA163-AC163</f>
        <v>6895924.5884285998</v>
      </c>
      <c r="AC163" s="91">
        <f>+T163*0.06</f>
        <v>475854.48568799999</v>
      </c>
      <c r="AD163" s="91">
        <v>0</v>
      </c>
      <c r="AE163" s="91">
        <f>+T163*0.01</f>
        <v>79309.080948000003</v>
      </c>
      <c r="AF163" s="91">
        <v>0</v>
      </c>
      <c r="AG163" s="204">
        <f>+AE163*1.15</f>
        <v>91205.443090200002</v>
      </c>
    </row>
    <row r="164" spans="1:34" s="103" customFormat="1" ht="90" customHeight="1">
      <c r="A164" s="102">
        <f t="shared" si="42"/>
        <v>143</v>
      </c>
      <c r="B164" s="52"/>
      <c r="C164" s="51" t="s">
        <v>1000</v>
      </c>
      <c r="D164" s="35" t="s">
        <v>65</v>
      </c>
      <c r="E164" s="35">
        <v>800035103</v>
      </c>
      <c r="F164" s="36" t="s">
        <v>67</v>
      </c>
      <c r="G164" s="35" t="s">
        <v>48</v>
      </c>
      <c r="H164" s="51" t="s">
        <v>74</v>
      </c>
      <c r="I164" s="34" t="s">
        <v>199</v>
      </c>
      <c r="J164" s="52" t="s">
        <v>75</v>
      </c>
      <c r="K164" s="52" t="s">
        <v>60</v>
      </c>
      <c r="L164" s="51" t="s">
        <v>49</v>
      </c>
      <c r="M164" s="51" t="s">
        <v>100</v>
      </c>
      <c r="N164" s="36" t="s">
        <v>50</v>
      </c>
      <c r="O164" s="51"/>
      <c r="P164" s="51" t="s">
        <v>1020</v>
      </c>
      <c r="Q164" s="37"/>
      <c r="R164" s="37"/>
      <c r="S164" s="35" t="s">
        <v>96</v>
      </c>
      <c r="T164" s="38">
        <f t="shared" si="44"/>
        <v>7930908.0948000001</v>
      </c>
      <c r="U164" s="39"/>
      <c r="V164" s="131"/>
      <c r="W164" s="38"/>
      <c r="X164" s="38"/>
      <c r="Y164" s="132"/>
      <c r="Z164" s="38"/>
      <c r="AA164" s="91"/>
      <c r="AB164" s="91"/>
      <c r="AC164" s="91"/>
      <c r="AD164" s="91"/>
      <c r="AE164" s="91"/>
      <c r="AF164" s="91"/>
      <c r="AG164" s="204"/>
    </row>
    <row r="165" spans="1:34" s="103" customFormat="1" ht="90" customHeight="1">
      <c r="A165" s="102">
        <f t="shared" si="42"/>
        <v>144</v>
      </c>
      <c r="B165" s="52"/>
      <c r="C165" s="51" t="s">
        <v>996</v>
      </c>
      <c r="D165" s="35" t="s">
        <v>65</v>
      </c>
      <c r="E165" s="35">
        <v>800028589</v>
      </c>
      <c r="F165" s="36" t="s">
        <v>67</v>
      </c>
      <c r="G165" s="35" t="s">
        <v>48</v>
      </c>
      <c r="H165" s="51" t="s">
        <v>74</v>
      </c>
      <c r="I165" s="34" t="s">
        <v>429</v>
      </c>
      <c r="J165" s="52" t="s">
        <v>75</v>
      </c>
      <c r="K165" s="52" t="s">
        <v>60</v>
      </c>
      <c r="L165" s="51" t="s">
        <v>49</v>
      </c>
      <c r="M165" s="51" t="s">
        <v>100</v>
      </c>
      <c r="N165" s="36" t="s">
        <v>50</v>
      </c>
      <c r="O165" s="51"/>
      <c r="P165" s="51" t="s">
        <v>1019</v>
      </c>
      <c r="Q165" s="37"/>
      <c r="R165" s="37"/>
      <c r="S165" s="35" t="s">
        <v>96</v>
      </c>
      <c r="T165" s="38">
        <f>+(2097122*2+400000)*1.23*1.07</f>
        <v>6046484.5284000002</v>
      </c>
      <c r="U165" s="39"/>
      <c r="V165" s="131"/>
      <c r="W165" s="38">
        <v>0</v>
      </c>
      <c r="X165" s="38">
        <v>0</v>
      </c>
      <c r="Y165" s="38">
        <v>0</v>
      </c>
      <c r="Z165" s="38">
        <v>0</v>
      </c>
      <c r="AA165" s="91">
        <v>0</v>
      </c>
      <c r="AB165" s="91">
        <f>+T165*0.235*0.3</f>
        <v>426277.15925219998</v>
      </c>
      <c r="AC165" s="91">
        <f>+T165-AB165-AD165</f>
        <v>5257418.2974437997</v>
      </c>
      <c r="AD165" s="91">
        <f>+T165*0.06</f>
        <v>362789.071704</v>
      </c>
      <c r="AE165" s="91">
        <v>0</v>
      </c>
      <c r="AF165" s="91">
        <f>+T165*0.01</f>
        <v>60464.845284000003</v>
      </c>
      <c r="AG165" s="204">
        <v>0</v>
      </c>
    </row>
    <row r="166" spans="1:34" s="103" customFormat="1" ht="90" customHeight="1">
      <c r="A166" s="102">
        <f t="shared" si="42"/>
        <v>145</v>
      </c>
      <c r="B166" s="52"/>
      <c r="C166" s="51" t="s">
        <v>997</v>
      </c>
      <c r="D166" s="35" t="s">
        <v>65</v>
      </c>
      <c r="E166" s="35">
        <v>800026856</v>
      </c>
      <c r="F166" s="36" t="s">
        <v>67</v>
      </c>
      <c r="G166" s="35" t="s">
        <v>48</v>
      </c>
      <c r="H166" s="51" t="s">
        <v>74</v>
      </c>
      <c r="I166" s="34" t="s">
        <v>429</v>
      </c>
      <c r="J166" s="52" t="s">
        <v>75</v>
      </c>
      <c r="K166" s="52" t="s">
        <v>60</v>
      </c>
      <c r="L166" s="51" t="s">
        <v>49</v>
      </c>
      <c r="M166" s="51" t="s">
        <v>100</v>
      </c>
      <c r="N166" s="36" t="s">
        <v>50</v>
      </c>
      <c r="O166" s="51"/>
      <c r="P166" s="51" t="s">
        <v>1018</v>
      </c>
      <c r="Q166" s="37"/>
      <c r="R166" s="37"/>
      <c r="S166" s="35" t="s">
        <v>96</v>
      </c>
      <c r="T166" s="38">
        <f>+(1714473*2+300000)*1.23*1.07</f>
        <v>4907665.8306</v>
      </c>
      <c r="U166" s="39"/>
      <c r="V166" s="131"/>
      <c r="W166" s="38"/>
      <c r="X166" s="38"/>
      <c r="Y166" s="132"/>
      <c r="Z166" s="38"/>
      <c r="AA166" s="91"/>
      <c r="AB166" s="91"/>
      <c r="AC166" s="91"/>
      <c r="AD166" s="91"/>
      <c r="AE166" s="91"/>
      <c r="AF166" s="91"/>
      <c r="AG166" s="204"/>
    </row>
    <row r="167" spans="1:34" s="103" customFormat="1" ht="90" customHeight="1">
      <c r="A167" s="102">
        <f t="shared" si="42"/>
        <v>146</v>
      </c>
      <c r="B167" s="52"/>
      <c r="C167" s="51" t="s">
        <v>1001</v>
      </c>
      <c r="D167" s="35" t="s">
        <v>73</v>
      </c>
      <c r="E167" s="35">
        <v>800028654</v>
      </c>
      <c r="F167" s="36" t="s">
        <v>67</v>
      </c>
      <c r="G167" s="35" t="s">
        <v>48</v>
      </c>
      <c r="H167" s="51" t="s">
        <v>74</v>
      </c>
      <c r="I167" s="34" t="s">
        <v>429</v>
      </c>
      <c r="J167" s="52" t="s">
        <v>75</v>
      </c>
      <c r="K167" s="52" t="s">
        <v>60</v>
      </c>
      <c r="L167" s="51" t="s">
        <v>49</v>
      </c>
      <c r="M167" s="51" t="s">
        <v>100</v>
      </c>
      <c r="N167" s="36" t="s">
        <v>50</v>
      </c>
      <c r="O167" s="51"/>
      <c r="P167" s="51" t="s">
        <v>1016</v>
      </c>
      <c r="Q167" s="37"/>
      <c r="R167" s="37"/>
      <c r="S167" s="35" t="s">
        <v>96</v>
      </c>
      <c r="T167" s="38">
        <f>+(1*((1141850+1714473+2097122)/9)+50000)*1.23*1.07</f>
        <v>790163.7738333334</v>
      </c>
      <c r="U167" s="39"/>
      <c r="V167" s="131"/>
      <c r="W167" s="38">
        <v>0</v>
      </c>
      <c r="X167" s="38">
        <v>0</v>
      </c>
      <c r="Y167" s="38">
        <v>0</v>
      </c>
      <c r="Z167" s="38">
        <v>0</v>
      </c>
      <c r="AA167" s="91">
        <f>+T167*0.235*0.3</f>
        <v>55706.546055250001</v>
      </c>
      <c r="AB167" s="91">
        <f>+T167-AA167-AC167</f>
        <v>687047.4013480834</v>
      </c>
      <c r="AC167" s="91">
        <f>+T167*0.06</f>
        <v>47409.826430000001</v>
      </c>
      <c r="AD167" s="91">
        <v>0</v>
      </c>
      <c r="AE167" s="91">
        <f>+T167*0.01</f>
        <v>7901.6377383333338</v>
      </c>
      <c r="AF167" s="91">
        <v>0</v>
      </c>
      <c r="AG167" s="204">
        <f>+AE167*1.15</f>
        <v>9086.8833990833336</v>
      </c>
    </row>
    <row r="168" spans="1:34" s="103" customFormat="1" ht="90" customHeight="1">
      <c r="A168" s="102">
        <f t="shared" si="42"/>
        <v>147</v>
      </c>
      <c r="B168" s="52"/>
      <c r="C168" s="51" t="s">
        <v>1002</v>
      </c>
      <c r="D168" s="35" t="s">
        <v>73</v>
      </c>
      <c r="E168" s="35">
        <v>80035063</v>
      </c>
      <c r="F168" s="36" t="s">
        <v>67</v>
      </c>
      <c r="G168" s="35" t="s">
        <v>48</v>
      </c>
      <c r="H168" s="51" t="s">
        <v>74</v>
      </c>
      <c r="I168" s="34" t="s">
        <v>425</v>
      </c>
      <c r="J168" s="52" t="s">
        <v>75</v>
      </c>
      <c r="K168" s="52" t="s">
        <v>60</v>
      </c>
      <c r="L168" s="51" t="s">
        <v>49</v>
      </c>
      <c r="M168" s="51" t="s">
        <v>100</v>
      </c>
      <c r="N168" s="36" t="s">
        <v>50</v>
      </c>
      <c r="O168" s="51"/>
      <c r="P168" s="51" t="s">
        <v>1021</v>
      </c>
      <c r="Q168" s="37"/>
      <c r="R168" s="37"/>
      <c r="S168" s="35" t="s">
        <v>96</v>
      </c>
      <c r="T168" s="38">
        <f>+(12*((1141850+1714473+2097122)/9)+1293526+1350713*3+3500000+4298671+1350000+929210+300000+400000+150000)*1.23*1.07</f>
        <v>30109919.176600002</v>
      </c>
      <c r="U168" s="39"/>
      <c r="V168" s="131"/>
      <c r="W168" s="38">
        <v>0</v>
      </c>
      <c r="X168" s="38">
        <v>0</v>
      </c>
      <c r="Y168" s="38">
        <v>0</v>
      </c>
      <c r="Z168" s="38">
        <f>+T168*0.235*0.3</f>
        <v>2122749.3019503001</v>
      </c>
      <c r="AA168" s="91">
        <f>+T168-Z168-AB168</f>
        <v>26180574.724053703</v>
      </c>
      <c r="AB168" s="91">
        <f>+T168*0.06</f>
        <v>1806595.150596</v>
      </c>
      <c r="AC168" s="91">
        <v>0</v>
      </c>
      <c r="AD168" s="91">
        <f>+T168*0.01</f>
        <v>301099.191766</v>
      </c>
      <c r="AE168" s="91">
        <v>0</v>
      </c>
      <c r="AF168" s="91">
        <f>+AD168*1.15</f>
        <v>346264.07053089997</v>
      </c>
      <c r="AG168" s="204">
        <v>0</v>
      </c>
    </row>
    <row r="169" spans="1:34" s="103" customFormat="1" ht="90" customHeight="1">
      <c r="A169" s="102">
        <f t="shared" si="42"/>
        <v>148</v>
      </c>
      <c r="B169" s="52"/>
      <c r="C169" s="51" t="s">
        <v>1003</v>
      </c>
      <c r="D169" s="35" t="s">
        <v>73</v>
      </c>
      <c r="E169" s="35">
        <v>80035065</v>
      </c>
      <c r="F169" s="36" t="s">
        <v>67</v>
      </c>
      <c r="G169" s="35" t="s">
        <v>48</v>
      </c>
      <c r="H169" s="51" t="s">
        <v>74</v>
      </c>
      <c r="I169" s="34" t="s">
        <v>513</v>
      </c>
      <c r="J169" s="52" t="s">
        <v>75</v>
      </c>
      <c r="K169" s="52" t="s">
        <v>60</v>
      </c>
      <c r="L169" s="51" t="s">
        <v>49</v>
      </c>
      <c r="M169" s="51" t="s">
        <v>100</v>
      </c>
      <c r="N169" s="36" t="s">
        <v>50</v>
      </c>
      <c r="O169" s="51"/>
      <c r="P169" s="51" t="s">
        <v>1022</v>
      </c>
      <c r="Q169" s="37"/>
      <c r="R169" s="37"/>
      <c r="S169" s="35" t="s">
        <v>96</v>
      </c>
      <c r="T169" s="38">
        <f>+(14*((1141850+1714473+2097122)/9)+1293526+1350713*3+3500000+4298671+1350000+600000+350000+929210+300000+400000+150000)*1.23*1.07</f>
        <v>32808931.724266667</v>
      </c>
      <c r="U169" s="39"/>
      <c r="V169" s="131"/>
      <c r="W169" s="38">
        <v>0</v>
      </c>
      <c r="X169" s="38">
        <v>0</v>
      </c>
      <c r="Y169" s="38">
        <v>0</v>
      </c>
      <c r="Z169" s="38">
        <f>+T169*0.235*0.3</f>
        <v>2313029.6865607998</v>
      </c>
      <c r="AA169" s="91">
        <f>+T169-Z169-AB169</f>
        <v>28527366.13424987</v>
      </c>
      <c r="AB169" s="91">
        <f>+T169*0.06</f>
        <v>1968535.9034559999</v>
      </c>
      <c r="AC169" s="91">
        <v>0</v>
      </c>
      <c r="AD169" s="91">
        <f>+T169*0.01</f>
        <v>328089.31724266667</v>
      </c>
      <c r="AE169" s="91">
        <v>0</v>
      </c>
      <c r="AF169" s="91">
        <f>+AD169*1.15</f>
        <v>377302.71482906665</v>
      </c>
      <c r="AG169" s="204">
        <v>0</v>
      </c>
    </row>
    <row r="170" spans="1:34" s="103" customFormat="1" ht="90" customHeight="1">
      <c r="A170" s="102">
        <f t="shared" si="42"/>
        <v>149</v>
      </c>
      <c r="B170" s="52"/>
      <c r="C170" s="51" t="s">
        <v>1004</v>
      </c>
      <c r="D170" s="35" t="s">
        <v>65</v>
      </c>
      <c r="E170" s="35">
        <v>800034913</v>
      </c>
      <c r="F170" s="36" t="s">
        <v>67</v>
      </c>
      <c r="G170" s="35" t="s">
        <v>48</v>
      </c>
      <c r="H170" s="51" t="s">
        <v>74</v>
      </c>
      <c r="I170" s="34" t="s">
        <v>309</v>
      </c>
      <c r="J170" s="52" t="s">
        <v>75</v>
      </c>
      <c r="K170" s="52" t="s">
        <v>60</v>
      </c>
      <c r="L170" s="51" t="s">
        <v>49</v>
      </c>
      <c r="M170" s="51" t="s">
        <v>100</v>
      </c>
      <c r="N170" s="36" t="s">
        <v>50</v>
      </c>
      <c r="O170" s="51"/>
      <c r="P170" s="51" t="s">
        <v>1015</v>
      </c>
      <c r="Q170" s="37"/>
      <c r="R170" s="37"/>
      <c r="S170" s="35" t="s">
        <v>96</v>
      </c>
      <c r="T170" s="38">
        <f>+(1823640+1141850+3658606+4298671+16*(1022001/14)+1350000+150000)*1.23*1.07</f>
        <v>17886809.952814288</v>
      </c>
      <c r="U170" s="39"/>
      <c r="V170" s="131"/>
      <c r="W170" s="38">
        <v>0</v>
      </c>
      <c r="X170" s="38">
        <v>0</v>
      </c>
      <c r="Y170" s="38">
        <v>0</v>
      </c>
      <c r="Z170" s="38">
        <v>0</v>
      </c>
      <c r="AA170" s="91">
        <v>0</v>
      </c>
      <c r="AB170" s="91">
        <f>+T170*0.235*0.3</f>
        <v>1261020.1016734072</v>
      </c>
      <c r="AC170" s="91">
        <f>+T170-AB170-AD170</f>
        <v>15552581.253972024</v>
      </c>
      <c r="AD170" s="91">
        <f>+T170*0.06</f>
        <v>1073208.5971688572</v>
      </c>
      <c r="AE170" s="91">
        <v>0</v>
      </c>
      <c r="AF170" s="91">
        <f>+T170*0.01</f>
        <v>178868.09952814289</v>
      </c>
      <c r="AG170" s="204">
        <v>0</v>
      </c>
    </row>
    <row r="171" spans="1:34" s="103" customFormat="1" ht="90" customHeight="1">
      <c r="A171" s="102">
        <f t="shared" si="42"/>
        <v>150</v>
      </c>
      <c r="B171" s="52"/>
      <c r="C171" s="51" t="s">
        <v>1005</v>
      </c>
      <c r="D171" s="35" t="s">
        <v>65</v>
      </c>
      <c r="E171" s="35">
        <v>800034910</v>
      </c>
      <c r="F171" s="36" t="s">
        <v>67</v>
      </c>
      <c r="G171" s="35" t="s">
        <v>48</v>
      </c>
      <c r="H171" s="51" t="s">
        <v>74</v>
      </c>
      <c r="I171" s="34" t="s">
        <v>309</v>
      </c>
      <c r="J171" s="52" t="s">
        <v>75</v>
      </c>
      <c r="K171" s="52" t="s">
        <v>60</v>
      </c>
      <c r="L171" s="51" t="s">
        <v>49</v>
      </c>
      <c r="M171" s="51" t="s">
        <v>100</v>
      </c>
      <c r="N171" s="36" t="s">
        <v>50</v>
      </c>
      <c r="O171" s="51"/>
      <c r="P171" s="51" t="s">
        <v>1014</v>
      </c>
      <c r="Q171" s="37"/>
      <c r="R171" s="37"/>
      <c r="S171" s="35" t="s">
        <v>96</v>
      </c>
      <c r="T171" s="38">
        <f>+(1823640+21*((1141850+1714473+2097122)/9)+4298671+16*(1022001/14)+1350000+250000)*1.23*1.07</f>
        <v>26912074.061714284</v>
      </c>
      <c r="U171" s="39"/>
      <c r="V171" s="131"/>
      <c r="W171" s="38">
        <v>0</v>
      </c>
      <c r="X171" s="38">
        <v>0</v>
      </c>
      <c r="Y171" s="38">
        <v>0</v>
      </c>
      <c r="Z171" s="38">
        <v>0</v>
      </c>
      <c r="AA171" s="91">
        <f>+T171*0.235*0.3</f>
        <v>1897301.2213508568</v>
      </c>
      <c r="AB171" s="91">
        <f>T171-AA171-AC171</f>
        <v>23400048.39666057</v>
      </c>
      <c r="AC171" s="91">
        <f>+T171*0.06</f>
        <v>1614724.443702857</v>
      </c>
      <c r="AD171" s="91">
        <v>0</v>
      </c>
      <c r="AE171" s="91">
        <f>+T171*0.01</f>
        <v>269120.74061714287</v>
      </c>
      <c r="AF171" s="91">
        <v>0</v>
      </c>
      <c r="AG171" s="204">
        <f>+AE171*1.15</f>
        <v>309488.85170971428</v>
      </c>
    </row>
    <row r="172" spans="1:34" s="103" customFormat="1" ht="90" customHeight="1">
      <c r="A172" s="102">
        <f t="shared" si="42"/>
        <v>151</v>
      </c>
      <c r="B172" s="52"/>
      <c r="C172" s="51" t="s">
        <v>1006</v>
      </c>
      <c r="D172" s="35" t="s">
        <v>65</v>
      </c>
      <c r="E172" s="35">
        <v>800035153</v>
      </c>
      <c r="F172" s="36" t="s">
        <v>67</v>
      </c>
      <c r="G172" s="35" t="s">
        <v>48</v>
      </c>
      <c r="H172" s="51" t="s">
        <v>74</v>
      </c>
      <c r="I172" s="34" t="s">
        <v>1008</v>
      </c>
      <c r="J172" s="52" t="s">
        <v>75</v>
      </c>
      <c r="K172" s="52" t="s">
        <v>60</v>
      </c>
      <c r="L172" s="51" t="s">
        <v>49</v>
      </c>
      <c r="M172" s="51" t="s">
        <v>100</v>
      </c>
      <c r="N172" s="36" t="s">
        <v>50</v>
      </c>
      <c r="O172" s="51"/>
      <c r="P172" s="51" t="s">
        <v>1013</v>
      </c>
      <c r="Q172" s="37"/>
      <c r="R172" s="37"/>
      <c r="S172" s="35" t="s">
        <v>96</v>
      </c>
      <c r="T172" s="38">
        <f>+(1823640+8*((1141850+1714473+2097122)/9)+3658606+1293526+1350713*4+22*(1022001/14)+1350000+300000+350000+600000+929210+750000+150000)*1.23*1.07</f>
        <v>29766099.186223812</v>
      </c>
      <c r="U172" s="39"/>
      <c r="V172" s="131"/>
      <c r="W172" s="38">
        <v>0</v>
      </c>
      <c r="X172" s="38">
        <v>0</v>
      </c>
      <c r="Y172" s="38">
        <v>0</v>
      </c>
      <c r="Z172" s="38">
        <f>+T172*0.235*0.3</f>
        <v>2098509.9926287783</v>
      </c>
      <c r="AA172" s="91">
        <f>+T172-Z172-AB172</f>
        <v>25881623.242421605</v>
      </c>
      <c r="AB172" s="91">
        <f>+T172*0.06</f>
        <v>1785965.9511734287</v>
      </c>
      <c r="AC172" s="91">
        <v>0</v>
      </c>
      <c r="AD172" s="91">
        <f>+T172*0.01</f>
        <v>297660.99186223815</v>
      </c>
      <c r="AE172" s="91">
        <v>0</v>
      </c>
      <c r="AF172" s="91">
        <f>+AD172*1.15</f>
        <v>342310.14064157387</v>
      </c>
      <c r="AG172" s="204">
        <v>0</v>
      </c>
    </row>
    <row r="173" spans="1:34" s="103" customFormat="1" ht="90" customHeight="1">
      <c r="A173" s="102">
        <f t="shared" si="42"/>
        <v>152</v>
      </c>
      <c r="B173" s="52"/>
      <c r="C173" s="51" t="s">
        <v>1010</v>
      </c>
      <c r="D173" s="35" t="s">
        <v>65</v>
      </c>
      <c r="E173" s="35">
        <v>800035171</v>
      </c>
      <c r="F173" s="36" t="s">
        <v>67</v>
      </c>
      <c r="G173" s="35" t="s">
        <v>48</v>
      </c>
      <c r="H173" s="51" t="s">
        <v>74</v>
      </c>
      <c r="I173" s="34" t="s">
        <v>204</v>
      </c>
      <c r="J173" s="52" t="s">
        <v>75</v>
      </c>
      <c r="K173" s="52" t="s">
        <v>60</v>
      </c>
      <c r="L173" s="51" t="s">
        <v>49</v>
      </c>
      <c r="M173" s="51" t="s">
        <v>100</v>
      </c>
      <c r="N173" s="36" t="s">
        <v>50</v>
      </c>
      <c r="O173" s="51"/>
      <c r="P173" s="51" t="s">
        <v>1012</v>
      </c>
      <c r="Q173" s="37"/>
      <c r="R173" s="37"/>
      <c r="S173" s="35" t="s">
        <v>96</v>
      </c>
      <c r="T173" s="38">
        <f>+(1823640+8*((1141850+1714473+2097122)/9)+3658606+1293526+1350713*4+3500000+4298671+12*(1022001/14)+1350000+300000+350000+600000+929210+750000+150000)*1.23*1.07</f>
        <v>39069176.149252385</v>
      </c>
      <c r="U173" s="39"/>
      <c r="V173" s="131"/>
      <c r="W173" s="38">
        <v>0</v>
      </c>
      <c r="X173" s="38">
        <v>0</v>
      </c>
      <c r="Y173" s="38">
        <v>0</v>
      </c>
      <c r="Z173" s="38">
        <f>+T173*0.235*0.3</f>
        <v>2754376.9185222927</v>
      </c>
      <c r="AA173" s="91">
        <f>+T173-Z173-AB173</f>
        <v>33970648.661774948</v>
      </c>
      <c r="AB173" s="91">
        <f>+T173*0.06</f>
        <v>2344150.568955143</v>
      </c>
      <c r="AC173" s="91">
        <v>0</v>
      </c>
      <c r="AD173" s="91">
        <f>+T173*0.01</f>
        <v>390691.76149252383</v>
      </c>
      <c r="AE173" s="91">
        <v>0</v>
      </c>
      <c r="AF173" s="91">
        <f>+AD173*1.15</f>
        <v>449295.52571640239</v>
      </c>
      <c r="AG173" s="204">
        <v>0</v>
      </c>
      <c r="AH173" s="103">
        <f>+T173*0.06</f>
        <v>2344150.568955143</v>
      </c>
    </row>
    <row r="174" spans="1:34" s="103" customFormat="1" ht="90" customHeight="1">
      <c r="A174" s="102">
        <f t="shared" si="42"/>
        <v>153</v>
      </c>
      <c r="B174" s="52"/>
      <c r="C174" s="51" t="s">
        <v>1007</v>
      </c>
      <c r="D174" s="35" t="s">
        <v>65</v>
      </c>
      <c r="E174" s="35">
        <v>80005193</v>
      </c>
      <c r="F174" s="36" t="s">
        <v>67</v>
      </c>
      <c r="G174" s="35" t="s">
        <v>48</v>
      </c>
      <c r="H174" s="51" t="s">
        <v>74</v>
      </c>
      <c r="I174" s="34" t="s">
        <v>1009</v>
      </c>
      <c r="J174" s="52" t="s">
        <v>75</v>
      </c>
      <c r="K174" s="52" t="s">
        <v>60</v>
      </c>
      <c r="L174" s="51" t="s">
        <v>49</v>
      </c>
      <c r="M174" s="51" t="s">
        <v>100</v>
      </c>
      <c r="N174" s="36" t="s">
        <v>50</v>
      </c>
      <c r="O174" s="51"/>
      <c r="P174" s="51" t="s">
        <v>1011</v>
      </c>
      <c r="Q174" s="37"/>
      <c r="R174" s="37"/>
      <c r="S174" s="35" t="s">
        <v>96</v>
      </c>
      <c r="T174" s="38">
        <f>+(1823640+9*((1141850+1714473+2097122)/9)+3658606+1293526+1350713*4+3500000+4298671+24*(1022001/14)+1350000+300000+350000+600000+929210+750000+150000)*1.23*1.07</f>
        <v>40946439.651171438</v>
      </c>
      <c r="U174" s="39"/>
      <c r="V174" s="131"/>
      <c r="W174" s="38">
        <v>0</v>
      </c>
      <c r="X174" s="38">
        <v>0</v>
      </c>
      <c r="Y174" s="38">
        <v>0</v>
      </c>
      <c r="Z174" s="38">
        <v>0</v>
      </c>
      <c r="AA174" s="91">
        <v>0</v>
      </c>
      <c r="AB174" s="91">
        <f>+T174*0.235*0.3</f>
        <v>2886723.995407586</v>
      </c>
      <c r="AC174" s="91">
        <f>+T174-AB174-AD174</f>
        <v>35602929.27669356</v>
      </c>
      <c r="AD174" s="91">
        <f>+T174*0.06</f>
        <v>2456786.3790702862</v>
      </c>
      <c r="AE174" s="91">
        <v>0</v>
      </c>
      <c r="AF174" s="91">
        <f>+T174*0.01</f>
        <v>409464.39651171438</v>
      </c>
      <c r="AG174" s="204">
        <v>0</v>
      </c>
    </row>
    <row r="175" spans="1:34" s="103" customFormat="1" ht="90" customHeight="1">
      <c r="A175" s="102">
        <f t="shared" si="42"/>
        <v>154</v>
      </c>
      <c r="B175" s="52" t="s">
        <v>478</v>
      </c>
      <c r="C175" s="51" t="s">
        <v>479</v>
      </c>
      <c r="D175" s="35" t="s">
        <v>65</v>
      </c>
      <c r="E175" s="35">
        <v>800034835</v>
      </c>
      <c r="F175" s="36" t="s">
        <v>67</v>
      </c>
      <c r="G175" s="35" t="s">
        <v>48</v>
      </c>
      <c r="H175" s="51" t="s">
        <v>74</v>
      </c>
      <c r="I175" s="34" t="s">
        <v>458</v>
      </c>
      <c r="J175" s="52" t="s">
        <v>75</v>
      </c>
      <c r="K175" s="52" t="s">
        <v>60</v>
      </c>
      <c r="L175" s="51" t="s">
        <v>49</v>
      </c>
      <c r="M175" s="51" t="s">
        <v>100</v>
      </c>
      <c r="N175" s="36" t="s">
        <v>50</v>
      </c>
      <c r="O175" s="51"/>
      <c r="P175" s="51" t="s">
        <v>480</v>
      </c>
      <c r="Q175" s="37">
        <v>42156</v>
      </c>
      <c r="R175" s="37">
        <v>42643</v>
      </c>
      <c r="S175" s="35" t="s">
        <v>87</v>
      </c>
      <c r="T175" s="38">
        <f>+(1823640+15*((1141850+1714473+2097122)/9)+3658606+1293526+1350713+4298671+22*(1022001/14)+929210+300000+600000+900000+150000)*1.23*1.07</f>
        <v>33121116.368257139</v>
      </c>
      <c r="U175" s="39"/>
      <c r="V175" s="131"/>
      <c r="W175" s="38">
        <v>0</v>
      </c>
      <c r="X175" s="38">
        <f>+T175*0.235*0.3</f>
        <v>2335038.7039621281</v>
      </c>
      <c r="Y175" s="132">
        <f>+T175-X175-Z175</f>
        <v>28798810.682199582</v>
      </c>
      <c r="Z175" s="38">
        <f>+T175*0.06</f>
        <v>1987266.9820954283</v>
      </c>
      <c r="AA175" s="91">
        <v>0</v>
      </c>
      <c r="AB175" s="91">
        <f>+T175*0.01</f>
        <v>331211.16368257138</v>
      </c>
      <c r="AC175" s="91">
        <v>0</v>
      </c>
      <c r="AD175" s="91">
        <f>+AB175*1.15</f>
        <v>380892.83823495707</v>
      </c>
      <c r="AE175" s="91">
        <v>0</v>
      </c>
      <c r="AF175" s="91">
        <f>+AD175*1.15</f>
        <v>438026.76397020061</v>
      </c>
      <c r="AG175" s="204">
        <v>0</v>
      </c>
    </row>
    <row r="176" spans="1:34" s="103" customFormat="1" ht="90" customHeight="1">
      <c r="A176" s="102">
        <f t="shared" si="42"/>
        <v>155</v>
      </c>
      <c r="B176" s="52" t="s">
        <v>481</v>
      </c>
      <c r="C176" s="51" t="s">
        <v>482</v>
      </c>
      <c r="D176" s="35" t="s">
        <v>73</v>
      </c>
      <c r="E176" s="35">
        <v>800034943</v>
      </c>
      <c r="F176" s="36" t="s">
        <v>67</v>
      </c>
      <c r="G176" s="35" t="s">
        <v>48</v>
      </c>
      <c r="H176" s="51" t="s">
        <v>74</v>
      </c>
      <c r="I176" s="34" t="s">
        <v>79</v>
      </c>
      <c r="J176" s="52" t="s">
        <v>75</v>
      </c>
      <c r="K176" s="52" t="s">
        <v>60</v>
      </c>
      <c r="L176" s="51" t="s">
        <v>61</v>
      </c>
      <c r="M176" s="51" t="s">
        <v>117</v>
      </c>
      <c r="N176" s="36" t="s">
        <v>50</v>
      </c>
      <c r="O176" s="51"/>
      <c r="P176" s="51" t="s">
        <v>483</v>
      </c>
      <c r="Q176" s="37">
        <v>41365</v>
      </c>
      <c r="R176" s="37">
        <v>41521</v>
      </c>
      <c r="S176" s="35" t="s">
        <v>87</v>
      </c>
      <c r="T176" s="38">
        <f>+(15*((1141850+1714473+2097122)/9)+1293526+1247367+1350713+4298671+22*(1022001/14)+929210+900000+150000+10*210000+450000+250000)*1.23*1.07</f>
        <v>30048182.116357144</v>
      </c>
      <c r="U176" s="39"/>
      <c r="V176" s="131"/>
      <c r="W176" s="38">
        <v>0</v>
      </c>
      <c r="X176" s="38">
        <v>950000</v>
      </c>
      <c r="Y176" s="132">
        <f>+T176-X176-Z176</f>
        <v>27295291.189375713</v>
      </c>
      <c r="Z176" s="38">
        <f>+T176*0.06</f>
        <v>1802890.9269814286</v>
      </c>
      <c r="AA176" s="91">
        <v>0</v>
      </c>
      <c r="AB176" s="91">
        <f>+T176*0.01</f>
        <v>300481.82116357144</v>
      </c>
      <c r="AC176" s="91">
        <v>0</v>
      </c>
      <c r="AD176" s="91">
        <f>+AB176*1.15</f>
        <v>345554.09433810716</v>
      </c>
      <c r="AE176" s="91">
        <v>0</v>
      </c>
      <c r="AF176" s="91">
        <f>+AD176*1.15</f>
        <v>397387.20848882321</v>
      </c>
      <c r="AG176" s="204">
        <v>0</v>
      </c>
    </row>
    <row r="177" spans="1:33" s="103" customFormat="1" ht="90" customHeight="1">
      <c r="A177" s="102">
        <f t="shared" si="42"/>
        <v>156</v>
      </c>
      <c r="B177" s="52"/>
      <c r="C177" s="51" t="s">
        <v>930</v>
      </c>
      <c r="D177" s="35" t="s">
        <v>65</v>
      </c>
      <c r="E177" s="35">
        <v>800035194</v>
      </c>
      <c r="F177" s="36" t="s">
        <v>67</v>
      </c>
      <c r="G177" s="35" t="s">
        <v>48</v>
      </c>
      <c r="H177" s="51" t="s">
        <v>74</v>
      </c>
      <c r="I177" s="34" t="s">
        <v>467</v>
      </c>
      <c r="J177" s="52" t="s">
        <v>75</v>
      </c>
      <c r="K177" s="52" t="s">
        <v>60</v>
      </c>
      <c r="L177" s="51" t="s">
        <v>262</v>
      </c>
      <c r="M177" s="51" t="s">
        <v>298</v>
      </c>
      <c r="N177" s="36" t="s">
        <v>50</v>
      </c>
      <c r="O177" s="51"/>
      <c r="P177" s="51" t="s">
        <v>959</v>
      </c>
      <c r="Q177" s="37"/>
      <c r="R177" s="37"/>
      <c r="S177" s="35" t="s">
        <v>52</v>
      </c>
      <c r="T177" s="38">
        <f>+(1823640+15*((1141850+1714473+2097122)/9)+3658606+1293526+1247367+1350713*4+4298671+26*(1022001/14)+1350000+929210+300000+750000+150000)*1.23*0.3</f>
        <v>11570960.128285713</v>
      </c>
      <c r="U177" s="39"/>
      <c r="V177" s="131"/>
      <c r="W177" s="38">
        <v>0</v>
      </c>
      <c r="X177" s="38">
        <f>+T177*0.35</f>
        <v>4049836.0448999996</v>
      </c>
      <c r="Y177" s="38">
        <f>+T177-X177</f>
        <v>7521124.0833857134</v>
      </c>
      <c r="Z177" s="38">
        <v>0</v>
      </c>
      <c r="AA177" s="91">
        <f>+T177*0.01</f>
        <v>115709.60128285714</v>
      </c>
      <c r="AB177" s="91">
        <v>0</v>
      </c>
      <c r="AC177" s="91">
        <f>+AA177*1.15</f>
        <v>133066.04147528569</v>
      </c>
      <c r="AD177" s="91">
        <v>0</v>
      </c>
      <c r="AE177" s="91">
        <f>+AC177*1.15</f>
        <v>153025.94769657854</v>
      </c>
      <c r="AF177" s="91">
        <v>0</v>
      </c>
      <c r="AG177" s="204">
        <f>+AE177*1.15</f>
        <v>175979.83985106531</v>
      </c>
    </row>
    <row r="178" spans="1:33" s="103" customFormat="1" ht="90" customHeight="1">
      <c r="A178" s="102">
        <f t="shared" si="42"/>
        <v>157</v>
      </c>
      <c r="B178" s="52"/>
      <c r="C178" s="51" t="s">
        <v>931</v>
      </c>
      <c r="D178" s="35" t="s">
        <v>581</v>
      </c>
      <c r="E178" s="35">
        <v>800035199</v>
      </c>
      <c r="F178" s="36" t="s">
        <v>67</v>
      </c>
      <c r="G178" s="35" t="s">
        <v>48</v>
      </c>
      <c r="H178" s="51" t="s">
        <v>74</v>
      </c>
      <c r="I178" s="34" t="s">
        <v>1045</v>
      </c>
      <c r="J178" s="52" t="s">
        <v>75</v>
      </c>
      <c r="K178" s="52" t="s">
        <v>60</v>
      </c>
      <c r="L178" s="51" t="s">
        <v>262</v>
      </c>
      <c r="M178" s="51" t="s">
        <v>298</v>
      </c>
      <c r="N178" s="36" t="s">
        <v>50</v>
      </c>
      <c r="O178" s="51"/>
      <c r="P178" s="51" t="s">
        <v>960</v>
      </c>
      <c r="Q178" s="37"/>
      <c r="R178" s="37"/>
      <c r="S178" s="35" t="s">
        <v>96</v>
      </c>
      <c r="T178" s="38">
        <f>+(1823640+13*((1141850+1714473+2097122)/9)+1293526+1247367+1350713*4+4298671+20*(1022001/14)+929210+300000+750000+150000)*1.23*0.3</f>
        <v>9154979.866142856</v>
      </c>
      <c r="U178" s="39"/>
      <c r="V178" s="131"/>
      <c r="W178" s="38">
        <v>0</v>
      </c>
      <c r="X178" s="38">
        <v>0</v>
      </c>
      <c r="Y178" s="38">
        <v>0</v>
      </c>
      <c r="Z178" s="38">
        <v>0</v>
      </c>
      <c r="AA178" s="91">
        <v>0</v>
      </c>
      <c r="AB178" s="91">
        <f>+T178*0.235*0.3</f>
        <v>645426.0805630713</v>
      </c>
      <c r="AC178" s="91">
        <f>+T178-AB178</f>
        <v>8509553.7855797838</v>
      </c>
      <c r="AD178" s="91">
        <v>0</v>
      </c>
      <c r="AE178" s="91">
        <f>+T178*0.01</f>
        <v>91549.798661428562</v>
      </c>
      <c r="AF178" s="91">
        <v>0</v>
      </c>
      <c r="AG178" s="204">
        <f>+AE178*1.15</f>
        <v>105282.26846064284</v>
      </c>
    </row>
    <row r="179" spans="1:33" s="103" customFormat="1" ht="90" customHeight="1">
      <c r="A179" s="102">
        <f t="shared" si="42"/>
        <v>158</v>
      </c>
      <c r="B179" s="52"/>
      <c r="C179" s="51" t="s">
        <v>939</v>
      </c>
      <c r="D179" s="35" t="s">
        <v>73</v>
      </c>
      <c r="E179" s="35">
        <v>800034869</v>
      </c>
      <c r="F179" s="36" t="s">
        <v>67</v>
      </c>
      <c r="G179" s="35" t="s">
        <v>48</v>
      </c>
      <c r="H179" s="51" t="s">
        <v>74</v>
      </c>
      <c r="I179" s="34" t="s">
        <v>924</v>
      </c>
      <c r="J179" s="52" t="s">
        <v>75</v>
      </c>
      <c r="K179" s="52" t="s">
        <v>60</v>
      </c>
      <c r="L179" s="51" t="s">
        <v>262</v>
      </c>
      <c r="M179" s="51" t="s">
        <v>298</v>
      </c>
      <c r="N179" s="36" t="s">
        <v>50</v>
      </c>
      <c r="O179" s="51"/>
      <c r="P179" s="51" t="s">
        <v>961</v>
      </c>
      <c r="Q179" s="37"/>
      <c r="R179" s="37"/>
      <c r="S179" s="35" t="s">
        <v>96</v>
      </c>
      <c r="T179" s="38">
        <f>+(4*190000+450000+270000*2+1350000+240000)*1.23</f>
        <v>4108200</v>
      </c>
      <c r="U179" s="39"/>
      <c r="V179" s="131"/>
      <c r="W179" s="38"/>
      <c r="X179" s="38"/>
      <c r="Y179" s="132"/>
      <c r="Z179" s="38">
        <f>+T179*0.235*0.3</f>
        <v>289628.09999999998</v>
      </c>
      <c r="AA179" s="91">
        <f>+T179-Z179</f>
        <v>3818571.9</v>
      </c>
      <c r="AB179" s="91">
        <v>0</v>
      </c>
      <c r="AC179" s="91">
        <v>0</v>
      </c>
      <c r="AD179" s="91">
        <v>0</v>
      </c>
      <c r="AE179" s="91">
        <v>0</v>
      </c>
      <c r="AF179" s="91">
        <v>0</v>
      </c>
      <c r="AG179" s="204">
        <v>0</v>
      </c>
    </row>
    <row r="180" spans="1:33" s="103" customFormat="1" ht="90" customHeight="1">
      <c r="A180" s="102">
        <f t="shared" si="42"/>
        <v>159</v>
      </c>
      <c r="B180" s="52"/>
      <c r="C180" s="51" t="s">
        <v>940</v>
      </c>
      <c r="D180" s="35" t="s">
        <v>65</v>
      </c>
      <c r="E180" s="35">
        <v>800034873</v>
      </c>
      <c r="F180" s="36" t="s">
        <v>67</v>
      </c>
      <c r="G180" s="35" t="s">
        <v>48</v>
      </c>
      <c r="H180" s="51" t="s">
        <v>74</v>
      </c>
      <c r="I180" s="34" t="s">
        <v>924</v>
      </c>
      <c r="J180" s="52" t="s">
        <v>75</v>
      </c>
      <c r="K180" s="52" t="s">
        <v>60</v>
      </c>
      <c r="L180" s="51" t="s">
        <v>262</v>
      </c>
      <c r="M180" s="51" t="s">
        <v>298</v>
      </c>
      <c r="N180" s="36" t="s">
        <v>50</v>
      </c>
      <c r="O180" s="51"/>
      <c r="P180" s="51" t="s">
        <v>961</v>
      </c>
      <c r="Q180" s="37"/>
      <c r="R180" s="37"/>
      <c r="S180" s="35" t="s">
        <v>96</v>
      </c>
      <c r="T180" s="38">
        <f>+(4*190000+450000+270000*2+1350000+240000)*1.23</f>
        <v>4108200</v>
      </c>
      <c r="U180" s="39"/>
      <c r="V180" s="131"/>
      <c r="W180" s="38">
        <v>0</v>
      </c>
      <c r="X180" s="38">
        <v>0</v>
      </c>
      <c r="Y180" s="38">
        <v>0</v>
      </c>
      <c r="Z180" s="38">
        <f>+T180</f>
        <v>4108200</v>
      </c>
      <c r="AA180" s="91">
        <v>0</v>
      </c>
      <c r="AB180" s="91">
        <v>0</v>
      </c>
      <c r="AC180" s="91">
        <v>0</v>
      </c>
      <c r="AD180" s="91">
        <v>0</v>
      </c>
      <c r="AE180" s="91">
        <v>0</v>
      </c>
      <c r="AF180" s="91">
        <v>0</v>
      </c>
      <c r="AG180" s="204">
        <v>0</v>
      </c>
    </row>
    <row r="181" spans="1:33" s="103" customFormat="1" ht="90" customHeight="1">
      <c r="A181" s="102">
        <f t="shared" si="42"/>
        <v>160</v>
      </c>
      <c r="B181" s="52"/>
      <c r="C181" s="51" t="s">
        <v>920</v>
      </c>
      <c r="D181" s="35" t="s">
        <v>65</v>
      </c>
      <c r="E181" s="35">
        <v>800034876</v>
      </c>
      <c r="F181" s="36" t="s">
        <v>67</v>
      </c>
      <c r="G181" s="35" t="s">
        <v>48</v>
      </c>
      <c r="H181" s="51" t="s">
        <v>74</v>
      </c>
      <c r="I181" s="34" t="s">
        <v>924</v>
      </c>
      <c r="J181" s="52" t="s">
        <v>75</v>
      </c>
      <c r="K181" s="52" t="s">
        <v>60</v>
      </c>
      <c r="L181" s="51" t="s">
        <v>262</v>
      </c>
      <c r="M181" s="51" t="s">
        <v>298</v>
      </c>
      <c r="N181" s="36" t="s">
        <v>50</v>
      </c>
      <c r="O181" s="51"/>
      <c r="P181" s="51" t="s">
        <v>962</v>
      </c>
      <c r="Q181" s="37"/>
      <c r="R181" s="37"/>
      <c r="S181" s="35" t="s">
        <v>96</v>
      </c>
      <c r="T181" s="38">
        <f>+(9*190000+300000)*1.23</f>
        <v>2472300</v>
      </c>
      <c r="U181" s="39"/>
      <c r="V181" s="131"/>
      <c r="W181" s="38">
        <v>0</v>
      </c>
      <c r="X181" s="38">
        <v>0</v>
      </c>
      <c r="Y181" s="38">
        <v>0</v>
      </c>
      <c r="Z181" s="38">
        <v>0</v>
      </c>
      <c r="AA181" s="91">
        <v>0</v>
      </c>
      <c r="AB181" s="91">
        <f>+T181*0.235*0.3</f>
        <v>174297.15</v>
      </c>
      <c r="AC181" s="91">
        <f>+T181-AB181-AD181</f>
        <v>2149664.85</v>
      </c>
      <c r="AD181" s="91">
        <f>+T181*0.06</f>
        <v>148338</v>
      </c>
      <c r="AE181" s="91">
        <v>0</v>
      </c>
      <c r="AF181" s="91">
        <f>+T181*0.01</f>
        <v>24723</v>
      </c>
      <c r="AG181" s="204">
        <v>0</v>
      </c>
    </row>
    <row r="182" spans="1:33" s="103" customFormat="1" ht="90" customHeight="1">
      <c r="A182" s="102">
        <f t="shared" si="42"/>
        <v>161</v>
      </c>
      <c r="B182" s="52"/>
      <c r="C182" s="51" t="s">
        <v>932</v>
      </c>
      <c r="D182" s="35" t="s">
        <v>73</v>
      </c>
      <c r="E182" s="35">
        <v>800012898</v>
      </c>
      <c r="F182" s="36" t="s">
        <v>67</v>
      </c>
      <c r="G182" s="35" t="s">
        <v>48</v>
      </c>
      <c r="H182" s="51" t="s">
        <v>74</v>
      </c>
      <c r="I182" s="34" t="s">
        <v>932</v>
      </c>
      <c r="J182" s="52" t="s">
        <v>75</v>
      </c>
      <c r="K182" s="52" t="s">
        <v>60</v>
      </c>
      <c r="L182" s="51" t="s">
        <v>262</v>
      </c>
      <c r="M182" s="51" t="s">
        <v>298</v>
      </c>
      <c r="N182" s="36" t="s">
        <v>50</v>
      </c>
      <c r="O182" s="51"/>
      <c r="P182" s="51" t="s">
        <v>963</v>
      </c>
      <c r="Q182" s="37"/>
      <c r="R182" s="37"/>
      <c r="S182" s="35" t="s">
        <v>96</v>
      </c>
      <c r="T182" s="38">
        <f>+(26*190000+450000+180000)*1.23</f>
        <v>6851100</v>
      </c>
      <c r="U182" s="39"/>
      <c r="V182" s="131"/>
      <c r="W182" s="38">
        <v>0</v>
      </c>
      <c r="X182" s="38">
        <v>0</v>
      </c>
      <c r="Y182" s="38">
        <v>0</v>
      </c>
      <c r="Z182" s="38">
        <v>0</v>
      </c>
      <c r="AA182" s="91">
        <f>+T182*0.235*0.3</f>
        <v>483002.55</v>
      </c>
      <c r="AB182" s="91">
        <f>+T182-AA182-AC182</f>
        <v>5957031.4500000002</v>
      </c>
      <c r="AC182" s="91">
        <f>+T182*0.06</f>
        <v>411066</v>
      </c>
      <c r="AD182" s="91">
        <v>0</v>
      </c>
      <c r="AE182" s="91">
        <f>+T182*0.06</f>
        <v>411066</v>
      </c>
      <c r="AF182" s="91">
        <v>0</v>
      </c>
      <c r="AG182" s="204">
        <f>+AE182*1.15</f>
        <v>472725.89999999997</v>
      </c>
    </row>
    <row r="183" spans="1:33" s="103" customFormat="1" ht="90" customHeight="1">
      <c r="A183" s="102">
        <f t="shared" si="42"/>
        <v>162</v>
      </c>
      <c r="B183" s="52"/>
      <c r="C183" s="51" t="s">
        <v>933</v>
      </c>
      <c r="D183" s="35" t="s">
        <v>65</v>
      </c>
      <c r="E183" s="35">
        <v>800022244</v>
      </c>
      <c r="F183" s="36" t="s">
        <v>67</v>
      </c>
      <c r="G183" s="35" t="s">
        <v>48</v>
      </c>
      <c r="H183" s="51" t="s">
        <v>74</v>
      </c>
      <c r="I183" s="34" t="s">
        <v>932</v>
      </c>
      <c r="J183" s="52" t="s">
        <v>75</v>
      </c>
      <c r="K183" s="52" t="s">
        <v>60</v>
      </c>
      <c r="L183" s="51" t="s">
        <v>262</v>
      </c>
      <c r="M183" s="51" t="s">
        <v>298</v>
      </c>
      <c r="N183" s="36" t="s">
        <v>50</v>
      </c>
      <c r="O183" s="51"/>
      <c r="P183" s="51" t="s">
        <v>964</v>
      </c>
      <c r="Q183" s="37"/>
      <c r="R183" s="37"/>
      <c r="S183" s="35" t="s">
        <v>96</v>
      </c>
      <c r="T183" s="38">
        <f>+(4*210000+180000)*1.23</f>
        <v>1254600</v>
      </c>
      <c r="U183" s="39"/>
      <c r="V183" s="131"/>
      <c r="W183" s="38">
        <v>0</v>
      </c>
      <c r="X183" s="38">
        <v>0</v>
      </c>
      <c r="Y183" s="132">
        <f>+T183</f>
        <v>1254600</v>
      </c>
      <c r="Z183" s="38">
        <v>0</v>
      </c>
      <c r="AA183" s="91">
        <v>0</v>
      </c>
      <c r="AB183" s="91">
        <v>0</v>
      </c>
      <c r="AC183" s="91">
        <v>0</v>
      </c>
      <c r="AD183" s="91">
        <v>0</v>
      </c>
      <c r="AE183" s="91">
        <v>0</v>
      </c>
      <c r="AF183" s="91">
        <v>0</v>
      </c>
      <c r="AG183" s="204">
        <v>0</v>
      </c>
    </row>
    <row r="184" spans="1:33" s="103" customFormat="1" ht="90" customHeight="1">
      <c r="A184" s="102">
        <f t="shared" si="42"/>
        <v>163</v>
      </c>
      <c r="B184" s="52"/>
      <c r="C184" s="51" t="s">
        <v>934</v>
      </c>
      <c r="D184" s="35" t="s">
        <v>65</v>
      </c>
      <c r="E184" s="35">
        <v>80004994</v>
      </c>
      <c r="F184" s="36" t="s">
        <v>67</v>
      </c>
      <c r="G184" s="35" t="s">
        <v>48</v>
      </c>
      <c r="H184" s="51" t="s">
        <v>74</v>
      </c>
      <c r="I184" s="34" t="s">
        <v>932</v>
      </c>
      <c r="J184" s="52" t="s">
        <v>75</v>
      </c>
      <c r="K184" s="52" t="s">
        <v>60</v>
      </c>
      <c r="L184" s="51" t="s">
        <v>262</v>
      </c>
      <c r="M184" s="51" t="s">
        <v>298</v>
      </c>
      <c r="N184" s="36" t="s">
        <v>50</v>
      </c>
      <c r="O184" s="51"/>
      <c r="P184" s="51" t="s">
        <v>965</v>
      </c>
      <c r="Q184" s="37"/>
      <c r="R184" s="37"/>
      <c r="S184" s="35" t="s">
        <v>52</v>
      </c>
      <c r="T184" s="38">
        <f>+(26*190000+450000+180000)*1.23</f>
        <v>6851100</v>
      </c>
      <c r="U184" s="39"/>
      <c r="V184" s="131"/>
      <c r="W184" s="38">
        <v>0</v>
      </c>
      <c r="X184" s="38">
        <f>+T184*0.35</f>
        <v>2397885</v>
      </c>
      <c r="Y184" s="38">
        <f>+T184-X184</f>
        <v>4453215</v>
      </c>
      <c r="Z184" s="38">
        <v>0</v>
      </c>
      <c r="AA184" s="91">
        <f>+T184*0.01</f>
        <v>68511</v>
      </c>
      <c r="AB184" s="91">
        <v>0</v>
      </c>
      <c r="AC184" s="91">
        <f>+AA184*1.15</f>
        <v>78787.649999999994</v>
      </c>
      <c r="AD184" s="91">
        <v>0</v>
      </c>
      <c r="AE184" s="91">
        <f>+AC184*1.15</f>
        <v>90605.797499999986</v>
      </c>
      <c r="AF184" s="91">
        <v>0</v>
      </c>
      <c r="AG184" s="204">
        <f>+AE184*1.15</f>
        <v>104196.66712499998</v>
      </c>
    </row>
    <row r="185" spans="1:33" s="103" customFormat="1" ht="90" customHeight="1">
      <c r="A185" s="102">
        <f t="shared" si="42"/>
        <v>164</v>
      </c>
      <c r="B185" s="52"/>
      <c r="C185" s="51" t="s">
        <v>935</v>
      </c>
      <c r="D185" s="35" t="s">
        <v>65</v>
      </c>
      <c r="E185" s="35">
        <v>800012757</v>
      </c>
      <c r="F185" s="36" t="s">
        <v>67</v>
      </c>
      <c r="G185" s="35" t="s">
        <v>48</v>
      </c>
      <c r="H185" s="51" t="s">
        <v>74</v>
      </c>
      <c r="I185" s="34" t="s">
        <v>932</v>
      </c>
      <c r="J185" s="52" t="s">
        <v>75</v>
      </c>
      <c r="K185" s="52" t="s">
        <v>60</v>
      </c>
      <c r="L185" s="51" t="s">
        <v>262</v>
      </c>
      <c r="M185" s="51" t="s">
        <v>298</v>
      </c>
      <c r="N185" s="36" t="s">
        <v>50</v>
      </c>
      <c r="O185" s="51"/>
      <c r="P185" s="51" t="s">
        <v>966</v>
      </c>
      <c r="Q185" s="37"/>
      <c r="R185" s="37"/>
      <c r="S185" s="35" t="s">
        <v>96</v>
      </c>
      <c r="T185" s="38">
        <f>+(15*190000+450000+270000)*1.23</f>
        <v>4391100</v>
      </c>
      <c r="U185" s="39"/>
      <c r="V185" s="131"/>
      <c r="W185" s="38">
        <v>0</v>
      </c>
      <c r="X185" s="38">
        <v>0</v>
      </c>
      <c r="Y185" s="38">
        <v>0</v>
      </c>
      <c r="Z185" s="38">
        <f>+T185*0.235*0.3</f>
        <v>309572.54999999993</v>
      </c>
      <c r="AA185" s="91">
        <f>+T185-Z185</f>
        <v>4081527.45</v>
      </c>
      <c r="AB185" s="91">
        <v>0</v>
      </c>
      <c r="AC185" s="91">
        <v>0</v>
      </c>
      <c r="AD185" s="91">
        <v>0</v>
      </c>
      <c r="AE185" s="91">
        <v>0</v>
      </c>
      <c r="AF185" s="91">
        <v>0</v>
      </c>
      <c r="AG185" s="204">
        <v>0</v>
      </c>
    </row>
    <row r="186" spans="1:33" s="103" customFormat="1" ht="90" customHeight="1">
      <c r="A186" s="102">
        <f t="shared" si="42"/>
        <v>165</v>
      </c>
      <c r="B186" s="52"/>
      <c r="C186" s="51" t="s">
        <v>936</v>
      </c>
      <c r="D186" s="35" t="s">
        <v>65</v>
      </c>
      <c r="E186" s="35">
        <v>800012757</v>
      </c>
      <c r="F186" s="36" t="s">
        <v>67</v>
      </c>
      <c r="G186" s="35" t="s">
        <v>48</v>
      </c>
      <c r="H186" s="51" t="s">
        <v>74</v>
      </c>
      <c r="I186" s="34" t="s">
        <v>932</v>
      </c>
      <c r="J186" s="52" t="s">
        <v>75</v>
      </c>
      <c r="K186" s="52" t="s">
        <v>60</v>
      </c>
      <c r="L186" s="51" t="s">
        <v>262</v>
      </c>
      <c r="M186" s="51" t="s">
        <v>298</v>
      </c>
      <c r="N186" s="36" t="s">
        <v>50</v>
      </c>
      <c r="O186" s="51"/>
      <c r="P186" s="51" t="s">
        <v>967</v>
      </c>
      <c r="Q186" s="37"/>
      <c r="R186" s="37"/>
      <c r="S186" s="35" t="s">
        <v>52</v>
      </c>
      <c r="T186" s="38">
        <f>+(18*190000+450000)*1.23</f>
        <v>4760100</v>
      </c>
      <c r="U186" s="39"/>
      <c r="V186" s="131"/>
      <c r="W186" s="38">
        <v>0</v>
      </c>
      <c r="X186" s="38">
        <f>+T186*0.35</f>
        <v>1666035</v>
      </c>
      <c r="Y186" s="38">
        <f>+T186-X186</f>
        <v>3094065</v>
      </c>
      <c r="Z186" s="38">
        <v>0</v>
      </c>
      <c r="AA186" s="91">
        <f>+T186*0.01</f>
        <v>47601</v>
      </c>
      <c r="AB186" s="91">
        <v>0</v>
      </c>
      <c r="AC186" s="91">
        <f>+AA186*1.15</f>
        <v>54741.149999999994</v>
      </c>
      <c r="AD186" s="91">
        <v>0</v>
      </c>
      <c r="AE186" s="91">
        <f>+AC186*1.15</f>
        <v>62952.322499999987</v>
      </c>
      <c r="AF186" s="91">
        <v>0</v>
      </c>
      <c r="AG186" s="204">
        <f>+AE186*1.15</f>
        <v>72395.170874999982</v>
      </c>
    </row>
    <row r="187" spans="1:33" s="103" customFormat="1" ht="90" customHeight="1">
      <c r="A187" s="102">
        <f t="shared" si="42"/>
        <v>166</v>
      </c>
      <c r="B187" s="52"/>
      <c r="C187" s="51" t="s">
        <v>531</v>
      </c>
      <c r="D187" s="35" t="s">
        <v>65</v>
      </c>
      <c r="E187" s="35">
        <v>800035130</v>
      </c>
      <c r="F187" s="36" t="s">
        <v>67</v>
      </c>
      <c r="G187" s="35" t="s">
        <v>48</v>
      </c>
      <c r="H187" s="51" t="s">
        <v>74</v>
      </c>
      <c r="I187" s="34" t="s">
        <v>406</v>
      </c>
      <c r="J187" s="52" t="s">
        <v>75</v>
      </c>
      <c r="K187" s="52" t="s">
        <v>60</v>
      </c>
      <c r="L187" s="51" t="s">
        <v>262</v>
      </c>
      <c r="M187" s="51" t="s">
        <v>298</v>
      </c>
      <c r="N187" s="36" t="s">
        <v>50</v>
      </c>
      <c r="O187" s="51"/>
      <c r="P187" s="51" t="s">
        <v>968</v>
      </c>
      <c r="Q187" s="37"/>
      <c r="R187" s="37"/>
      <c r="S187" s="35" t="s">
        <v>96</v>
      </c>
      <c r="T187" s="38">
        <f>+(10*190000+450000+180000+250000)*1.23</f>
        <v>3419400</v>
      </c>
      <c r="U187" s="39"/>
      <c r="V187" s="131"/>
      <c r="W187" s="38">
        <v>0</v>
      </c>
      <c r="X187" s="38">
        <v>0</v>
      </c>
      <c r="Y187" s="38">
        <v>0</v>
      </c>
      <c r="Z187" s="38">
        <v>0</v>
      </c>
      <c r="AA187" s="91">
        <f>+T187*0.235*0.3</f>
        <v>241067.69999999998</v>
      </c>
      <c r="AB187" s="91">
        <f>+T187-AA187-AC187</f>
        <v>3178332.3</v>
      </c>
      <c r="AC187" s="91">
        <v>0</v>
      </c>
      <c r="AD187" s="91">
        <v>0</v>
      </c>
      <c r="AE187" s="91">
        <v>0</v>
      </c>
      <c r="AF187" s="91">
        <v>0</v>
      </c>
      <c r="AG187" s="204">
        <f>+AE187*1.15</f>
        <v>0</v>
      </c>
    </row>
    <row r="188" spans="1:33" s="103" customFormat="1" ht="90" customHeight="1">
      <c r="A188" s="102">
        <f t="shared" si="42"/>
        <v>167</v>
      </c>
      <c r="B188" s="52"/>
      <c r="C188" s="51" t="s">
        <v>937</v>
      </c>
      <c r="D188" s="35" t="s">
        <v>65</v>
      </c>
      <c r="E188" s="35">
        <v>800035120</v>
      </c>
      <c r="F188" s="36" t="s">
        <v>67</v>
      </c>
      <c r="G188" s="35" t="s">
        <v>48</v>
      </c>
      <c r="H188" s="51" t="s">
        <v>74</v>
      </c>
      <c r="I188" s="34" t="s">
        <v>406</v>
      </c>
      <c r="J188" s="52" t="s">
        <v>75</v>
      </c>
      <c r="K188" s="52" t="s">
        <v>60</v>
      </c>
      <c r="L188" s="51" t="s">
        <v>262</v>
      </c>
      <c r="M188" s="51" t="s">
        <v>298</v>
      </c>
      <c r="N188" s="36" t="s">
        <v>50</v>
      </c>
      <c r="O188" s="51"/>
      <c r="P188" s="51" t="s">
        <v>969</v>
      </c>
      <c r="Q188" s="37"/>
      <c r="R188" s="37"/>
      <c r="S188" s="35" t="s">
        <v>52</v>
      </c>
      <c r="T188" s="38">
        <f>+(21*190000+450000+270000+110000+1350000+150000)*1.23</f>
        <v>7773600</v>
      </c>
      <c r="U188" s="39"/>
      <c r="V188" s="131"/>
      <c r="W188" s="38">
        <v>0</v>
      </c>
      <c r="X188" s="38">
        <f>+T188*0.35</f>
        <v>2720760</v>
      </c>
      <c r="Y188" s="38">
        <f>+T188-X188</f>
        <v>5052840</v>
      </c>
      <c r="Z188" s="38">
        <v>0</v>
      </c>
      <c r="AA188" s="91">
        <f>+T188*0.01</f>
        <v>77736</v>
      </c>
      <c r="AB188" s="91">
        <v>0</v>
      </c>
      <c r="AC188" s="91">
        <f>+AA188*1.15</f>
        <v>89396.4</v>
      </c>
      <c r="AD188" s="91">
        <v>0</v>
      </c>
      <c r="AE188" s="91">
        <f>+AC188*1.15</f>
        <v>102805.85999999999</v>
      </c>
      <c r="AF188" s="91">
        <v>0</v>
      </c>
      <c r="AG188" s="204">
        <f>+AE188*1.15</f>
        <v>118226.73899999997</v>
      </c>
    </row>
    <row r="189" spans="1:33" s="103" customFormat="1" ht="90" customHeight="1">
      <c r="A189" s="102">
        <f t="shared" si="42"/>
        <v>168</v>
      </c>
      <c r="B189" s="52"/>
      <c r="C189" s="51" t="s">
        <v>938</v>
      </c>
      <c r="D189" s="35" t="s">
        <v>65</v>
      </c>
      <c r="E189" s="35">
        <v>800035136</v>
      </c>
      <c r="F189" s="36" t="s">
        <v>67</v>
      </c>
      <c r="G189" s="35" t="s">
        <v>48</v>
      </c>
      <c r="H189" s="51" t="s">
        <v>74</v>
      </c>
      <c r="I189" s="34" t="s">
        <v>406</v>
      </c>
      <c r="J189" s="52" t="s">
        <v>75</v>
      </c>
      <c r="K189" s="52" t="s">
        <v>60</v>
      </c>
      <c r="L189" s="51" t="s">
        <v>262</v>
      </c>
      <c r="M189" s="51" t="s">
        <v>298</v>
      </c>
      <c r="N189" s="36" t="s">
        <v>50</v>
      </c>
      <c r="O189" s="51"/>
      <c r="P189" s="51" t="s">
        <v>970</v>
      </c>
      <c r="Q189" s="37"/>
      <c r="R189" s="37"/>
      <c r="S189" s="35" t="s">
        <v>52</v>
      </c>
      <c r="T189" s="38">
        <f>+(21*190000+450000+270000+100000)*1.23</f>
        <v>5916300</v>
      </c>
      <c r="U189" s="39"/>
      <c r="V189" s="131"/>
      <c r="W189" s="38">
        <v>0</v>
      </c>
      <c r="X189" s="38">
        <f>+T189*0.35</f>
        <v>2070704.9999999998</v>
      </c>
      <c r="Y189" s="38">
        <f>+T189-X189</f>
        <v>3845595</v>
      </c>
      <c r="Z189" s="38">
        <v>0</v>
      </c>
      <c r="AA189" s="91">
        <f>+T189*0.01</f>
        <v>59163</v>
      </c>
      <c r="AB189" s="91">
        <v>0</v>
      </c>
      <c r="AC189" s="91">
        <f>+AA189*1.15</f>
        <v>68037.45</v>
      </c>
      <c r="AD189" s="91">
        <v>0</v>
      </c>
      <c r="AE189" s="91">
        <f>+AC189*1.15</f>
        <v>78243.06749999999</v>
      </c>
      <c r="AF189" s="91">
        <v>0</v>
      </c>
      <c r="AG189" s="204">
        <f>+AE189*1.15</f>
        <v>89979.527624999988</v>
      </c>
    </row>
    <row r="190" spans="1:33" s="103" customFormat="1" ht="90" customHeight="1">
      <c r="A190" s="102">
        <f t="shared" si="42"/>
        <v>169</v>
      </c>
      <c r="B190" s="52"/>
      <c r="C190" s="51" t="s">
        <v>941</v>
      </c>
      <c r="D190" s="35" t="s">
        <v>73</v>
      </c>
      <c r="E190" s="35">
        <v>800035125</v>
      </c>
      <c r="F190" s="36" t="s">
        <v>67</v>
      </c>
      <c r="G190" s="35" t="s">
        <v>48</v>
      </c>
      <c r="H190" s="51" t="s">
        <v>74</v>
      </c>
      <c r="I190" s="34" t="s">
        <v>406</v>
      </c>
      <c r="J190" s="52" t="s">
        <v>75</v>
      </c>
      <c r="K190" s="52" t="s">
        <v>60</v>
      </c>
      <c r="L190" s="51" t="s">
        <v>262</v>
      </c>
      <c r="M190" s="51" t="s">
        <v>298</v>
      </c>
      <c r="N190" s="36" t="s">
        <v>50</v>
      </c>
      <c r="O190" s="51"/>
      <c r="P190" s="51" t="s">
        <v>1242</v>
      </c>
      <c r="Q190" s="37"/>
      <c r="R190" s="37"/>
      <c r="S190" s="35" t="s">
        <v>52</v>
      </c>
      <c r="T190" s="38">
        <f>+(24*190000+16*10000+1350000+600000+350000+150000)*1.23</f>
        <v>8819100</v>
      </c>
      <c r="U190" s="39"/>
      <c r="V190" s="131"/>
      <c r="W190" s="38">
        <v>0</v>
      </c>
      <c r="X190" s="38">
        <f>+T190</f>
        <v>8819100</v>
      </c>
      <c r="Y190" s="38">
        <v>0</v>
      </c>
      <c r="Z190" s="38">
        <v>0</v>
      </c>
      <c r="AA190" s="91">
        <v>0</v>
      </c>
      <c r="AB190" s="91">
        <v>0</v>
      </c>
      <c r="AC190" s="91"/>
      <c r="AD190" s="91">
        <v>0</v>
      </c>
      <c r="AE190" s="91">
        <v>0</v>
      </c>
      <c r="AF190" s="91">
        <v>0</v>
      </c>
      <c r="AG190" s="204">
        <v>0</v>
      </c>
    </row>
    <row r="191" spans="1:33" s="103" customFormat="1" ht="90" customHeight="1">
      <c r="A191" s="102">
        <f t="shared" si="42"/>
        <v>170</v>
      </c>
      <c r="B191" s="52"/>
      <c r="C191" s="51" t="s">
        <v>947</v>
      </c>
      <c r="D191" s="35" t="s">
        <v>65</v>
      </c>
      <c r="E191" s="35">
        <v>800034950</v>
      </c>
      <c r="F191" s="36" t="s">
        <v>67</v>
      </c>
      <c r="G191" s="35" t="s">
        <v>48</v>
      </c>
      <c r="H191" s="51" t="s">
        <v>74</v>
      </c>
      <c r="I191" s="34" t="s">
        <v>79</v>
      </c>
      <c r="J191" s="52" t="s">
        <v>75</v>
      </c>
      <c r="K191" s="52" t="s">
        <v>60</v>
      </c>
      <c r="L191" s="51" t="s">
        <v>262</v>
      </c>
      <c r="M191" s="51" t="s">
        <v>298</v>
      </c>
      <c r="N191" s="36" t="s">
        <v>50</v>
      </c>
      <c r="O191" s="51"/>
      <c r="P191" s="51" t="s">
        <v>971</v>
      </c>
      <c r="Q191" s="37"/>
      <c r="R191" s="37"/>
      <c r="S191" s="35" t="s">
        <v>96</v>
      </c>
      <c r="T191" s="38">
        <f>+(4*190000+450000+10*10000+140000+300000+250000+50000)*1.23</f>
        <v>2521500</v>
      </c>
      <c r="U191" s="39"/>
      <c r="V191" s="131"/>
      <c r="W191" s="38">
        <v>0</v>
      </c>
      <c r="X191" s="38">
        <v>0</v>
      </c>
      <c r="Y191" s="38">
        <v>0</v>
      </c>
      <c r="Z191" s="38">
        <v>0</v>
      </c>
      <c r="AA191" s="91">
        <v>0</v>
      </c>
      <c r="AB191" s="91">
        <f>+T191*0.235*0.3</f>
        <v>177765.75</v>
      </c>
      <c r="AC191" s="91">
        <f>+T191-AB191-AD191</f>
        <v>2192444.25</v>
      </c>
      <c r="AD191" s="91">
        <f>+T191*0.06</f>
        <v>151290</v>
      </c>
      <c r="AE191" s="91">
        <v>0</v>
      </c>
      <c r="AF191" s="91">
        <f>+T191*0.01</f>
        <v>25215</v>
      </c>
      <c r="AG191" s="204">
        <v>0</v>
      </c>
    </row>
    <row r="192" spans="1:33" s="103" customFormat="1" ht="90" customHeight="1">
      <c r="A192" s="102">
        <f t="shared" si="42"/>
        <v>171</v>
      </c>
      <c r="B192" s="52"/>
      <c r="C192" s="51" t="s">
        <v>948</v>
      </c>
      <c r="D192" s="35" t="s">
        <v>65</v>
      </c>
      <c r="E192" s="35">
        <v>800034947</v>
      </c>
      <c r="F192" s="36" t="s">
        <v>67</v>
      </c>
      <c r="G192" s="35" t="s">
        <v>48</v>
      </c>
      <c r="H192" s="51" t="s">
        <v>74</v>
      </c>
      <c r="I192" s="34" t="s">
        <v>79</v>
      </c>
      <c r="J192" s="52" t="s">
        <v>75</v>
      </c>
      <c r="K192" s="52" t="s">
        <v>60</v>
      </c>
      <c r="L192" s="51" t="s">
        <v>262</v>
      </c>
      <c r="M192" s="51" t="s">
        <v>298</v>
      </c>
      <c r="N192" s="36" t="s">
        <v>50</v>
      </c>
      <c r="O192" s="51"/>
      <c r="P192" s="51" t="s">
        <v>971</v>
      </c>
      <c r="Q192" s="37"/>
      <c r="R192" s="37"/>
      <c r="S192" s="35" t="s">
        <v>96</v>
      </c>
      <c r="T192" s="38">
        <f>+(4*190000+450000+10*10000+140000+300000+250000+50000)*1.23</f>
        <v>2521500</v>
      </c>
      <c r="U192" s="39"/>
      <c r="V192" s="131"/>
      <c r="W192" s="38">
        <v>0</v>
      </c>
      <c r="X192" s="38">
        <v>0</v>
      </c>
      <c r="Y192" s="38">
        <v>0</v>
      </c>
      <c r="Z192" s="38">
        <v>0</v>
      </c>
      <c r="AA192" s="91">
        <v>0</v>
      </c>
      <c r="AB192" s="91">
        <f>+T192</f>
        <v>2521500</v>
      </c>
      <c r="AC192" s="91">
        <v>0</v>
      </c>
      <c r="AD192" s="91">
        <v>0</v>
      </c>
      <c r="AE192" s="91">
        <v>0</v>
      </c>
      <c r="AF192" s="91">
        <v>0</v>
      </c>
      <c r="AG192" s="204">
        <v>0</v>
      </c>
    </row>
    <row r="193" spans="1:33" s="103" customFormat="1" ht="90" customHeight="1">
      <c r="A193" s="102">
        <f t="shared" si="42"/>
        <v>172</v>
      </c>
      <c r="B193" s="52"/>
      <c r="C193" s="51" t="s">
        <v>949</v>
      </c>
      <c r="D193" s="35" t="s">
        <v>65</v>
      </c>
      <c r="E193" s="35">
        <v>800034963</v>
      </c>
      <c r="F193" s="36" t="s">
        <v>67</v>
      </c>
      <c r="G193" s="35" t="s">
        <v>48</v>
      </c>
      <c r="H193" s="51" t="s">
        <v>74</v>
      </c>
      <c r="I193" s="34" t="s">
        <v>194</v>
      </c>
      <c r="J193" s="52" t="s">
        <v>75</v>
      </c>
      <c r="K193" s="52" t="s">
        <v>60</v>
      </c>
      <c r="L193" s="51" t="s">
        <v>262</v>
      </c>
      <c r="M193" s="51" t="s">
        <v>298</v>
      </c>
      <c r="N193" s="36" t="s">
        <v>50</v>
      </c>
      <c r="O193" s="51"/>
      <c r="P193" s="51" t="s">
        <v>972</v>
      </c>
      <c r="Q193" s="37"/>
      <c r="R193" s="37"/>
      <c r="S193" s="35" t="s">
        <v>52</v>
      </c>
      <c r="T193" s="38">
        <f>+(27*190000)*1.23</f>
        <v>6309900</v>
      </c>
      <c r="U193" s="39"/>
      <c r="V193" s="131"/>
      <c r="W193" s="38">
        <v>0</v>
      </c>
      <c r="X193" s="38">
        <f>+T193*0.35</f>
        <v>2208465</v>
      </c>
      <c r="Y193" s="38">
        <f>+T193-X193</f>
        <v>4101435</v>
      </c>
      <c r="Z193" s="38">
        <v>0</v>
      </c>
      <c r="AA193" s="91">
        <f>+T193*0.01</f>
        <v>63099</v>
      </c>
      <c r="AB193" s="91">
        <v>0</v>
      </c>
      <c r="AC193" s="91">
        <f>+AA193*1.15</f>
        <v>72563.849999999991</v>
      </c>
      <c r="AD193" s="91">
        <v>0</v>
      </c>
      <c r="AE193" s="91">
        <f>+AC193*1.15</f>
        <v>83448.427499999991</v>
      </c>
      <c r="AF193" s="91">
        <v>0</v>
      </c>
      <c r="AG193" s="204">
        <f>+AE193*1.15</f>
        <v>95965.691624999978</v>
      </c>
    </row>
    <row r="194" spans="1:33" s="103" customFormat="1" ht="90" customHeight="1">
      <c r="A194" s="102">
        <f t="shared" si="42"/>
        <v>173</v>
      </c>
      <c r="B194" s="52"/>
      <c r="C194" s="51" t="s">
        <v>950</v>
      </c>
      <c r="D194" s="35" t="s">
        <v>65</v>
      </c>
      <c r="E194" s="35">
        <v>800034964</v>
      </c>
      <c r="F194" s="36" t="s">
        <v>67</v>
      </c>
      <c r="G194" s="35" t="s">
        <v>48</v>
      </c>
      <c r="H194" s="51" t="s">
        <v>74</v>
      </c>
      <c r="I194" s="34" t="s">
        <v>194</v>
      </c>
      <c r="J194" s="52" t="s">
        <v>75</v>
      </c>
      <c r="K194" s="52" t="s">
        <v>60</v>
      </c>
      <c r="L194" s="51" t="s">
        <v>262</v>
      </c>
      <c r="M194" s="51" t="s">
        <v>298</v>
      </c>
      <c r="N194" s="36" t="s">
        <v>50</v>
      </c>
      <c r="O194" s="51"/>
      <c r="P194" s="51" t="s">
        <v>973</v>
      </c>
      <c r="Q194" s="37"/>
      <c r="R194" s="37"/>
      <c r="S194" s="35" t="s">
        <v>96</v>
      </c>
      <c r="T194" s="38">
        <f>+(18*190000)*1.23</f>
        <v>4206600</v>
      </c>
      <c r="U194" s="39"/>
      <c r="V194" s="131"/>
      <c r="W194" s="38">
        <v>0</v>
      </c>
      <c r="X194" s="38">
        <v>0</v>
      </c>
      <c r="Y194" s="38">
        <v>0</v>
      </c>
      <c r="Z194" s="38">
        <f>+T194*0.235*0.3</f>
        <v>296565.3</v>
      </c>
      <c r="AA194" s="91">
        <f>+T194-Z194</f>
        <v>3910034.7</v>
      </c>
      <c r="AB194" s="91">
        <v>0</v>
      </c>
      <c r="AC194" s="91">
        <f>+T194*0.01</f>
        <v>42066</v>
      </c>
      <c r="AD194" s="91">
        <v>0</v>
      </c>
      <c r="AE194" s="91">
        <f>+AC194*1.15</f>
        <v>48375.899999999994</v>
      </c>
      <c r="AF194" s="91">
        <v>0</v>
      </c>
      <c r="AG194" s="204">
        <f>+AE194*1.15</f>
        <v>55632.284999999989</v>
      </c>
    </row>
    <row r="195" spans="1:33" s="103" customFormat="1" ht="90" customHeight="1">
      <c r="A195" s="102">
        <f t="shared" si="42"/>
        <v>174</v>
      </c>
      <c r="B195" s="52"/>
      <c r="C195" s="51" t="s">
        <v>951</v>
      </c>
      <c r="D195" s="35" t="s">
        <v>65</v>
      </c>
      <c r="E195" s="35">
        <v>800034965</v>
      </c>
      <c r="F195" s="36" t="s">
        <v>67</v>
      </c>
      <c r="G195" s="35" t="s">
        <v>48</v>
      </c>
      <c r="H195" s="51" t="s">
        <v>74</v>
      </c>
      <c r="I195" s="34" t="s">
        <v>194</v>
      </c>
      <c r="J195" s="52" t="s">
        <v>75</v>
      </c>
      <c r="K195" s="52" t="s">
        <v>60</v>
      </c>
      <c r="L195" s="51" t="s">
        <v>262</v>
      </c>
      <c r="M195" s="51" t="s">
        <v>298</v>
      </c>
      <c r="N195" s="36" t="s">
        <v>50</v>
      </c>
      <c r="O195" s="51"/>
      <c r="P195" s="51" t="s">
        <v>974</v>
      </c>
      <c r="Q195" s="37"/>
      <c r="R195" s="37"/>
      <c r="S195" s="35" t="s">
        <v>96</v>
      </c>
      <c r="T195" s="38">
        <f>+(9*190000)*1.23</f>
        <v>2103300</v>
      </c>
      <c r="U195" s="39"/>
      <c r="V195" s="131"/>
      <c r="W195" s="38">
        <v>0</v>
      </c>
      <c r="X195" s="38">
        <v>0</v>
      </c>
      <c r="Y195" s="38">
        <v>0</v>
      </c>
      <c r="Z195" s="38">
        <f>+T195*0.235*0.3</f>
        <v>148282.65</v>
      </c>
      <c r="AA195" s="91">
        <f>+T195-Z195</f>
        <v>1955017.35</v>
      </c>
      <c r="AB195" s="91">
        <v>0</v>
      </c>
      <c r="AC195" s="91">
        <v>0</v>
      </c>
      <c r="AD195" s="91">
        <v>0</v>
      </c>
      <c r="AE195" s="91">
        <v>0</v>
      </c>
      <c r="AF195" s="91">
        <v>0</v>
      </c>
      <c r="AG195" s="204">
        <v>0</v>
      </c>
    </row>
    <row r="196" spans="1:33" s="103" customFormat="1" ht="90" customHeight="1">
      <c r="A196" s="102">
        <f t="shared" si="42"/>
        <v>175</v>
      </c>
      <c r="B196" s="52"/>
      <c r="C196" s="51" t="s">
        <v>942</v>
      </c>
      <c r="D196" s="35" t="s">
        <v>73</v>
      </c>
      <c r="E196" s="35">
        <v>800035021</v>
      </c>
      <c r="F196" s="36" t="s">
        <v>67</v>
      </c>
      <c r="G196" s="35" t="s">
        <v>48</v>
      </c>
      <c r="H196" s="51" t="s">
        <v>74</v>
      </c>
      <c r="I196" s="34" t="s">
        <v>228</v>
      </c>
      <c r="J196" s="52" t="s">
        <v>75</v>
      </c>
      <c r="K196" s="52" t="s">
        <v>60</v>
      </c>
      <c r="L196" s="51" t="s">
        <v>262</v>
      </c>
      <c r="M196" s="51" t="s">
        <v>298</v>
      </c>
      <c r="N196" s="36" t="s">
        <v>50</v>
      </c>
      <c r="O196" s="51"/>
      <c r="P196" s="51" t="s">
        <v>975</v>
      </c>
      <c r="Q196" s="37"/>
      <c r="R196" s="37"/>
      <c r="S196" s="35" t="s">
        <v>96</v>
      </c>
      <c r="T196" s="38">
        <f>+(12*190000+12*10000)*1.23</f>
        <v>2952000</v>
      </c>
      <c r="U196" s="39"/>
      <c r="V196" s="131"/>
      <c r="W196" s="38">
        <v>0</v>
      </c>
      <c r="X196" s="38">
        <v>0</v>
      </c>
      <c r="Y196" s="38">
        <v>0</v>
      </c>
      <c r="Z196" s="38">
        <v>0</v>
      </c>
      <c r="AA196" s="91">
        <f>+T196*0.235*0.3</f>
        <v>208116</v>
      </c>
      <c r="AB196" s="91">
        <f>+T196-AA196</f>
        <v>2743884</v>
      </c>
      <c r="AC196" s="91">
        <v>0</v>
      </c>
      <c r="AD196" s="91">
        <v>0</v>
      </c>
      <c r="AE196" s="91">
        <v>0</v>
      </c>
      <c r="AF196" s="91">
        <v>0</v>
      </c>
      <c r="AG196" s="204">
        <v>0</v>
      </c>
    </row>
    <row r="197" spans="1:33" s="103" customFormat="1" ht="90" customHeight="1">
      <c r="A197" s="102">
        <f t="shared" si="42"/>
        <v>176</v>
      </c>
      <c r="B197" s="52"/>
      <c r="C197" s="51" t="s">
        <v>952</v>
      </c>
      <c r="D197" s="35" t="s">
        <v>73</v>
      </c>
      <c r="E197" s="35">
        <v>800035041</v>
      </c>
      <c r="F197" s="36" t="s">
        <v>67</v>
      </c>
      <c r="G197" s="35" t="s">
        <v>48</v>
      </c>
      <c r="H197" s="51" t="s">
        <v>74</v>
      </c>
      <c r="I197" s="34" t="s">
        <v>228</v>
      </c>
      <c r="J197" s="52" t="s">
        <v>75</v>
      </c>
      <c r="K197" s="52" t="s">
        <v>60</v>
      </c>
      <c r="L197" s="51" t="s">
        <v>262</v>
      </c>
      <c r="M197" s="51" t="s">
        <v>298</v>
      </c>
      <c r="N197" s="36" t="s">
        <v>50</v>
      </c>
      <c r="O197" s="51"/>
      <c r="P197" s="51" t="s">
        <v>976</v>
      </c>
      <c r="Q197" s="37"/>
      <c r="R197" s="37"/>
      <c r="S197" s="35" t="s">
        <v>96</v>
      </c>
      <c r="T197" s="38">
        <f>+(12*190000)*1.23</f>
        <v>2804400</v>
      </c>
      <c r="U197" s="39"/>
      <c r="V197" s="131"/>
      <c r="W197" s="38">
        <v>0</v>
      </c>
      <c r="X197" s="38">
        <v>0</v>
      </c>
      <c r="Y197" s="38">
        <v>0</v>
      </c>
      <c r="Z197" s="38">
        <v>0</v>
      </c>
      <c r="AA197" s="91">
        <v>0</v>
      </c>
      <c r="AB197" s="91">
        <f>+T197*0.235*0.3</f>
        <v>197710.19999999998</v>
      </c>
      <c r="AC197" s="91">
        <f>+T197-AB197-AD197</f>
        <v>2606689.7999999998</v>
      </c>
      <c r="AD197" s="91">
        <v>0</v>
      </c>
      <c r="AE197" s="91">
        <v>0</v>
      </c>
      <c r="AF197" s="91">
        <v>0</v>
      </c>
      <c r="AG197" s="204">
        <v>0</v>
      </c>
    </row>
    <row r="198" spans="1:33" s="103" customFormat="1" ht="90" customHeight="1">
      <c r="A198" s="102">
        <f t="shared" si="42"/>
        <v>177</v>
      </c>
      <c r="B198" s="52"/>
      <c r="C198" s="51" t="s">
        <v>943</v>
      </c>
      <c r="D198" s="35" t="s">
        <v>65</v>
      </c>
      <c r="E198" s="35">
        <v>800035044</v>
      </c>
      <c r="F198" s="36" t="s">
        <v>67</v>
      </c>
      <c r="G198" s="35" t="s">
        <v>48</v>
      </c>
      <c r="H198" s="51" t="s">
        <v>74</v>
      </c>
      <c r="I198" s="34" t="s">
        <v>228</v>
      </c>
      <c r="J198" s="52" t="s">
        <v>75</v>
      </c>
      <c r="K198" s="52" t="s">
        <v>60</v>
      </c>
      <c r="L198" s="51" t="s">
        <v>262</v>
      </c>
      <c r="M198" s="51" t="s">
        <v>298</v>
      </c>
      <c r="N198" s="36" t="s">
        <v>50</v>
      </c>
      <c r="O198" s="51"/>
      <c r="P198" s="51" t="s">
        <v>977</v>
      </c>
      <c r="Q198" s="37"/>
      <c r="R198" s="37"/>
      <c r="S198" s="35" t="s">
        <v>96</v>
      </c>
      <c r="T198" s="38">
        <f>+(8*190000+450000+12*10000+1350000)*1.23</f>
        <v>4231200</v>
      </c>
      <c r="U198" s="39"/>
      <c r="V198" s="131"/>
      <c r="W198" s="38">
        <v>0</v>
      </c>
      <c r="X198" s="38">
        <v>0</v>
      </c>
      <c r="Y198" s="38">
        <v>0</v>
      </c>
      <c r="Z198" s="38">
        <v>0</v>
      </c>
      <c r="AA198" s="91">
        <f>+T198*0.235*0.3</f>
        <v>298299.59999999998</v>
      </c>
      <c r="AB198" s="91">
        <f>+T198-AA198-AC198</f>
        <v>3679028.4</v>
      </c>
      <c r="AC198" s="91">
        <f>+T198*0.06</f>
        <v>253872</v>
      </c>
      <c r="AD198" s="91">
        <v>0</v>
      </c>
      <c r="AE198" s="91">
        <f>+T198*0.01</f>
        <v>42312</v>
      </c>
      <c r="AF198" s="91">
        <v>0</v>
      </c>
      <c r="AG198" s="204">
        <f>+AE198*1.15</f>
        <v>48658.799999999996</v>
      </c>
    </row>
    <row r="199" spans="1:33" s="103" customFormat="1" ht="90" customHeight="1">
      <c r="A199" s="102">
        <f t="shared" si="42"/>
        <v>178</v>
      </c>
      <c r="B199" s="52"/>
      <c r="C199" s="51" t="s">
        <v>944</v>
      </c>
      <c r="D199" s="35" t="s">
        <v>1044</v>
      </c>
      <c r="E199" s="35">
        <v>800034993</v>
      </c>
      <c r="F199" s="36" t="s">
        <v>67</v>
      </c>
      <c r="G199" s="35" t="s">
        <v>48</v>
      </c>
      <c r="H199" s="51" t="s">
        <v>74</v>
      </c>
      <c r="I199" s="34" t="s">
        <v>486</v>
      </c>
      <c r="J199" s="52" t="s">
        <v>75</v>
      </c>
      <c r="K199" s="52" t="s">
        <v>60</v>
      </c>
      <c r="L199" s="51" t="s">
        <v>262</v>
      </c>
      <c r="M199" s="51" t="s">
        <v>298</v>
      </c>
      <c r="N199" s="36" t="s">
        <v>50</v>
      </c>
      <c r="O199" s="51"/>
      <c r="P199" s="51" t="s">
        <v>978</v>
      </c>
      <c r="Q199" s="37"/>
      <c r="R199" s="37"/>
      <c r="S199" s="35" t="s">
        <v>96</v>
      </c>
      <c r="T199" s="38">
        <f>+(4*190000+270000*2+140000)*1.23</f>
        <v>1771200</v>
      </c>
      <c r="U199" s="39"/>
      <c r="V199" s="131"/>
      <c r="W199" s="38">
        <v>0</v>
      </c>
      <c r="X199" s="38">
        <v>0</v>
      </c>
      <c r="Y199" s="38">
        <f>+T199</f>
        <v>1771200</v>
      </c>
      <c r="Z199" s="38">
        <v>0</v>
      </c>
      <c r="AA199" s="91">
        <v>0</v>
      </c>
      <c r="AB199" s="91">
        <v>0</v>
      </c>
      <c r="AC199" s="91">
        <v>0</v>
      </c>
      <c r="AD199" s="91">
        <v>0</v>
      </c>
      <c r="AE199" s="91">
        <v>0</v>
      </c>
      <c r="AF199" s="91">
        <v>0</v>
      </c>
      <c r="AG199" s="204">
        <v>0</v>
      </c>
    </row>
    <row r="200" spans="1:33" s="103" customFormat="1" ht="90" customHeight="1">
      <c r="A200" s="102">
        <f t="shared" si="42"/>
        <v>179</v>
      </c>
      <c r="B200" s="52"/>
      <c r="C200" s="51" t="s">
        <v>945</v>
      </c>
      <c r="D200" s="35" t="s">
        <v>1044</v>
      </c>
      <c r="E200" s="35">
        <v>800034995</v>
      </c>
      <c r="F200" s="36" t="s">
        <v>67</v>
      </c>
      <c r="G200" s="35" t="s">
        <v>48</v>
      </c>
      <c r="H200" s="51" t="s">
        <v>74</v>
      </c>
      <c r="I200" s="34" t="s">
        <v>486</v>
      </c>
      <c r="J200" s="52" t="s">
        <v>75</v>
      </c>
      <c r="K200" s="52" t="s">
        <v>60</v>
      </c>
      <c r="L200" s="51" t="s">
        <v>262</v>
      </c>
      <c r="M200" s="51" t="s">
        <v>298</v>
      </c>
      <c r="N200" s="36" t="s">
        <v>50</v>
      </c>
      <c r="O200" s="51"/>
      <c r="P200" s="51" t="s">
        <v>979</v>
      </c>
      <c r="Q200" s="37"/>
      <c r="R200" s="37"/>
      <c r="S200" s="35" t="s">
        <v>96</v>
      </c>
      <c r="T200" s="38">
        <f>+(270000+450000+10*10000)*1.23</f>
        <v>1008600</v>
      </c>
      <c r="U200" s="39"/>
      <c r="V200" s="131"/>
      <c r="W200" s="38">
        <v>0</v>
      </c>
      <c r="X200" s="38">
        <v>0</v>
      </c>
      <c r="Y200" s="38">
        <v>0</v>
      </c>
      <c r="Z200" s="38">
        <v>0</v>
      </c>
      <c r="AA200" s="91">
        <f>+T200</f>
        <v>1008600</v>
      </c>
      <c r="AB200" s="91">
        <v>0</v>
      </c>
      <c r="AC200" s="91">
        <v>0</v>
      </c>
      <c r="AD200" s="91">
        <v>0</v>
      </c>
      <c r="AE200" s="91">
        <v>0</v>
      </c>
      <c r="AF200" s="91">
        <v>0</v>
      </c>
      <c r="AG200" s="204">
        <v>0</v>
      </c>
    </row>
    <row r="201" spans="1:33" s="103" customFormat="1" ht="90" customHeight="1">
      <c r="A201" s="102">
        <f t="shared" si="42"/>
        <v>180</v>
      </c>
      <c r="B201" s="52"/>
      <c r="C201" s="51" t="s">
        <v>946</v>
      </c>
      <c r="D201" s="35" t="s">
        <v>1044</v>
      </c>
      <c r="E201" s="35">
        <v>800034996</v>
      </c>
      <c r="F201" s="36" t="s">
        <v>67</v>
      </c>
      <c r="G201" s="35" t="s">
        <v>48</v>
      </c>
      <c r="H201" s="51" t="s">
        <v>74</v>
      </c>
      <c r="I201" s="34" t="s">
        <v>486</v>
      </c>
      <c r="J201" s="52" t="s">
        <v>75</v>
      </c>
      <c r="K201" s="52" t="s">
        <v>60</v>
      </c>
      <c r="L201" s="51" t="s">
        <v>262</v>
      </c>
      <c r="M201" s="51" t="s">
        <v>298</v>
      </c>
      <c r="N201" s="36" t="s">
        <v>50</v>
      </c>
      <c r="O201" s="51"/>
      <c r="P201" s="51" t="s">
        <v>980</v>
      </c>
      <c r="Q201" s="37"/>
      <c r="R201" s="37"/>
      <c r="S201" s="35" t="s">
        <v>96</v>
      </c>
      <c r="T201" s="38">
        <f>+(16*190000+450000+8*10000)*1.23</f>
        <v>4391100</v>
      </c>
      <c r="U201" s="39"/>
      <c r="V201" s="131"/>
      <c r="W201" s="38">
        <v>0</v>
      </c>
      <c r="X201" s="38">
        <v>0</v>
      </c>
      <c r="Y201" s="38">
        <v>0</v>
      </c>
      <c r="Z201" s="38">
        <v>0</v>
      </c>
      <c r="AA201" s="91">
        <f>+T201*0.235*0.3</f>
        <v>309572.54999999993</v>
      </c>
      <c r="AB201" s="91">
        <f>+T201-AA201-AC201</f>
        <v>3818061.45</v>
      </c>
      <c r="AC201" s="91">
        <f>+T201*0.06</f>
        <v>263466</v>
      </c>
      <c r="AD201" s="91">
        <v>0</v>
      </c>
      <c r="AE201" s="91">
        <f>+T201*0.01</f>
        <v>43911</v>
      </c>
      <c r="AF201" s="91">
        <v>0</v>
      </c>
      <c r="AG201" s="204">
        <f>+AE201*1.15</f>
        <v>50497.649999999994</v>
      </c>
    </row>
    <row r="202" spans="1:33" s="103" customFormat="1" ht="90" customHeight="1">
      <c r="A202" s="102">
        <f t="shared" si="42"/>
        <v>181</v>
      </c>
      <c r="B202" s="52"/>
      <c r="C202" s="51" t="s">
        <v>953</v>
      </c>
      <c r="D202" s="35" t="s">
        <v>664</v>
      </c>
      <c r="E202" s="35">
        <v>800028613</v>
      </c>
      <c r="F202" s="36" t="s">
        <v>67</v>
      </c>
      <c r="G202" s="35" t="s">
        <v>48</v>
      </c>
      <c r="H202" s="51" t="s">
        <v>74</v>
      </c>
      <c r="I202" s="34" t="s">
        <v>429</v>
      </c>
      <c r="J202" s="52" t="s">
        <v>75</v>
      </c>
      <c r="K202" s="52" t="s">
        <v>60</v>
      </c>
      <c r="L202" s="51" t="s">
        <v>262</v>
      </c>
      <c r="M202" s="51" t="s">
        <v>298</v>
      </c>
      <c r="N202" s="36" t="s">
        <v>50</v>
      </c>
      <c r="O202" s="51"/>
      <c r="P202" s="51" t="s">
        <v>958</v>
      </c>
      <c r="Q202" s="37"/>
      <c r="R202" s="37"/>
      <c r="S202" s="35" t="s">
        <v>96</v>
      </c>
      <c r="T202" s="38">
        <f>+(4*190000+450000*2+270000+14*10000+1350000+350000+140000+300000+250000)*1.23</f>
        <v>5485800</v>
      </c>
      <c r="U202" s="39"/>
      <c r="V202" s="131"/>
      <c r="W202" s="38">
        <v>0</v>
      </c>
      <c r="X202" s="38">
        <v>0</v>
      </c>
      <c r="Y202" s="38">
        <v>0</v>
      </c>
      <c r="Z202" s="38">
        <v>0</v>
      </c>
      <c r="AA202" s="91">
        <v>0</v>
      </c>
      <c r="AB202" s="91">
        <v>0</v>
      </c>
      <c r="AC202" s="91">
        <v>0</v>
      </c>
      <c r="AD202" s="91">
        <v>0</v>
      </c>
      <c r="AE202" s="91">
        <f>+T202*0.235*0.3</f>
        <v>386748.89999999997</v>
      </c>
      <c r="AF202" s="91">
        <f>+T202-AE202</f>
        <v>5099051.0999999996</v>
      </c>
      <c r="AG202" s="204">
        <v>0</v>
      </c>
    </row>
    <row r="203" spans="1:33" s="103" customFormat="1" ht="90" customHeight="1">
      <c r="A203" s="102">
        <f t="shared" si="42"/>
        <v>182</v>
      </c>
      <c r="B203" s="52"/>
      <c r="C203" s="51" t="s">
        <v>954</v>
      </c>
      <c r="D203" s="35" t="s">
        <v>581</v>
      </c>
      <c r="E203" s="35">
        <v>800035062</v>
      </c>
      <c r="F203" s="36" t="s">
        <v>67</v>
      </c>
      <c r="G203" s="35" t="s">
        <v>48</v>
      </c>
      <c r="H203" s="51" t="s">
        <v>74</v>
      </c>
      <c r="I203" s="34" t="s">
        <v>425</v>
      </c>
      <c r="J203" s="52" t="s">
        <v>75</v>
      </c>
      <c r="K203" s="52" t="s">
        <v>60</v>
      </c>
      <c r="L203" s="51" t="s">
        <v>262</v>
      </c>
      <c r="M203" s="51" t="s">
        <v>298</v>
      </c>
      <c r="N203" s="36" t="s">
        <v>50</v>
      </c>
      <c r="O203" s="51"/>
      <c r="P203" s="51" t="s">
        <v>956</v>
      </c>
      <c r="Q203" s="37"/>
      <c r="R203" s="37"/>
      <c r="S203" s="35" t="s">
        <v>96</v>
      </c>
      <c r="T203" s="38">
        <f>+(10*190000+450000*2+270000*3)*1.23</f>
        <v>4440300</v>
      </c>
      <c r="U203" s="39"/>
      <c r="V203" s="131"/>
      <c r="W203" s="38">
        <v>0</v>
      </c>
      <c r="X203" s="38">
        <v>0</v>
      </c>
      <c r="Y203" s="38">
        <v>0</v>
      </c>
      <c r="Z203" s="38">
        <v>0</v>
      </c>
      <c r="AA203" s="91">
        <v>0</v>
      </c>
      <c r="AB203" s="91">
        <f>+T203*0.235*0.3</f>
        <v>313041.14999999997</v>
      </c>
      <c r="AC203" s="91">
        <f>+T203-AB203</f>
        <v>4127258.85</v>
      </c>
      <c r="AD203" s="91">
        <v>0</v>
      </c>
      <c r="AE203" s="91">
        <f>+T203*0.01</f>
        <v>44403</v>
      </c>
      <c r="AF203" s="91">
        <v>0</v>
      </c>
      <c r="AG203" s="204">
        <f>+AE203*1.15</f>
        <v>51063.45</v>
      </c>
    </row>
    <row r="204" spans="1:33" s="103" customFormat="1" ht="90" customHeight="1">
      <c r="A204" s="102">
        <f t="shared" si="42"/>
        <v>183</v>
      </c>
      <c r="B204" s="52"/>
      <c r="C204" s="51" t="s">
        <v>982</v>
      </c>
      <c r="D204" s="35" t="s">
        <v>65</v>
      </c>
      <c r="E204" s="35">
        <v>800035203</v>
      </c>
      <c r="F204" s="36" t="s">
        <v>67</v>
      </c>
      <c r="G204" s="35" t="s">
        <v>48</v>
      </c>
      <c r="H204" s="51" t="s">
        <v>74</v>
      </c>
      <c r="I204" s="34" t="s">
        <v>467</v>
      </c>
      <c r="J204" s="52" t="s">
        <v>75</v>
      </c>
      <c r="K204" s="52" t="s">
        <v>60</v>
      </c>
      <c r="L204" s="51" t="s">
        <v>262</v>
      </c>
      <c r="M204" s="51" t="s">
        <v>298</v>
      </c>
      <c r="N204" s="36" t="s">
        <v>50</v>
      </c>
      <c r="O204" s="51"/>
      <c r="P204" s="51" t="s">
        <v>981</v>
      </c>
      <c r="Q204" s="37"/>
      <c r="R204" s="37"/>
      <c r="S204" s="35" t="s">
        <v>96</v>
      </c>
      <c r="T204" s="38">
        <f>+(5*190000+450000*3+270000*4+140000+350000+250000+50000)*1.23</f>
        <v>5129100</v>
      </c>
      <c r="U204" s="39"/>
      <c r="V204" s="131"/>
      <c r="W204" s="38">
        <v>0</v>
      </c>
      <c r="X204" s="38">
        <v>0</v>
      </c>
      <c r="Y204" s="38">
        <v>0</v>
      </c>
      <c r="Z204" s="38">
        <v>0</v>
      </c>
      <c r="AA204" s="91">
        <f>+T204*0.235*0.3</f>
        <v>361601.55</v>
      </c>
      <c r="AB204" s="91">
        <f>+T204-AA204-AC204</f>
        <v>4459752.45</v>
      </c>
      <c r="AC204" s="91">
        <f>+T204*0.06</f>
        <v>307746</v>
      </c>
      <c r="AD204" s="91">
        <v>0</v>
      </c>
      <c r="AE204" s="91">
        <f>+T204*0.01</f>
        <v>51291</v>
      </c>
      <c r="AF204" s="91">
        <v>0</v>
      </c>
      <c r="AG204" s="204">
        <f>+AE204*1.15</f>
        <v>58984.649999999994</v>
      </c>
    </row>
    <row r="205" spans="1:33" s="103" customFormat="1" ht="90" customHeight="1">
      <c r="A205" s="102">
        <f t="shared" si="42"/>
        <v>184</v>
      </c>
      <c r="B205" s="52"/>
      <c r="C205" s="51" t="s">
        <v>955</v>
      </c>
      <c r="D205" s="35" t="s">
        <v>65</v>
      </c>
      <c r="E205" s="35">
        <v>800034887</v>
      </c>
      <c r="F205" s="36" t="s">
        <v>67</v>
      </c>
      <c r="G205" s="35" t="s">
        <v>48</v>
      </c>
      <c r="H205" s="51" t="s">
        <v>74</v>
      </c>
      <c r="I205" s="34" t="s">
        <v>389</v>
      </c>
      <c r="J205" s="52" t="s">
        <v>75</v>
      </c>
      <c r="K205" s="52" t="s">
        <v>60</v>
      </c>
      <c r="L205" s="51" t="s">
        <v>262</v>
      </c>
      <c r="M205" s="51" t="s">
        <v>298</v>
      </c>
      <c r="N205" s="36" t="s">
        <v>50</v>
      </c>
      <c r="O205" s="51"/>
      <c r="P205" s="51" t="s">
        <v>957</v>
      </c>
      <c r="Q205" s="37"/>
      <c r="R205" s="37"/>
      <c r="S205" s="35" t="s">
        <v>52</v>
      </c>
      <c r="T205" s="38">
        <f>+(27*190000+450000*3+270000*4+12*10000+1350000+350000+600000+140000+350000+250000+50000+1270000)*1.23</f>
        <v>14809200</v>
      </c>
      <c r="U205" s="39"/>
      <c r="V205" s="131"/>
      <c r="W205" s="38">
        <v>0</v>
      </c>
      <c r="X205" s="38">
        <f>+T205*0.35</f>
        <v>5183220</v>
      </c>
      <c r="Y205" s="38">
        <f>+T205-X205</f>
        <v>9625980</v>
      </c>
      <c r="Z205" s="38">
        <v>0</v>
      </c>
      <c r="AA205" s="91">
        <f>+T205*0.01</f>
        <v>148092</v>
      </c>
      <c r="AB205" s="91">
        <v>0</v>
      </c>
      <c r="AC205" s="91">
        <f>+AA205*1.15</f>
        <v>170305.8</v>
      </c>
      <c r="AD205" s="91">
        <v>0</v>
      </c>
      <c r="AE205" s="91">
        <f>+AC205*1.15</f>
        <v>195851.66999999998</v>
      </c>
      <c r="AF205" s="91">
        <v>0</v>
      </c>
      <c r="AG205" s="204">
        <f>+AE205*1.15</f>
        <v>225229.42049999998</v>
      </c>
    </row>
    <row r="206" spans="1:33" s="103" customFormat="1" ht="90" customHeight="1">
      <c r="A206" s="102">
        <f t="shared" si="42"/>
        <v>185</v>
      </c>
      <c r="B206" s="52" t="s">
        <v>484</v>
      </c>
      <c r="C206" s="51" t="s">
        <v>485</v>
      </c>
      <c r="D206" s="35" t="s">
        <v>474</v>
      </c>
      <c r="E206" s="35">
        <v>800035005</v>
      </c>
      <c r="F206" s="36" t="s">
        <v>67</v>
      </c>
      <c r="G206" s="35" t="s">
        <v>48</v>
      </c>
      <c r="H206" s="51" t="s">
        <v>74</v>
      </c>
      <c r="I206" s="34" t="s">
        <v>486</v>
      </c>
      <c r="J206" s="52" t="s">
        <v>75</v>
      </c>
      <c r="K206" s="52" t="s">
        <v>60</v>
      </c>
      <c r="L206" s="51" t="s">
        <v>262</v>
      </c>
      <c r="M206" s="51" t="s">
        <v>298</v>
      </c>
      <c r="N206" s="36" t="s">
        <v>50</v>
      </c>
      <c r="O206" s="51"/>
      <c r="P206" s="51" t="s">
        <v>487</v>
      </c>
      <c r="Q206" s="37">
        <v>43191</v>
      </c>
      <c r="R206" s="37">
        <v>43554</v>
      </c>
      <c r="S206" s="35" t="s">
        <v>96</v>
      </c>
      <c r="T206" s="38">
        <v>21513830.477499999</v>
      </c>
      <c r="U206" s="39"/>
      <c r="V206" s="131"/>
      <c r="W206" s="38">
        <v>0</v>
      </c>
      <c r="X206" s="38">
        <v>0</v>
      </c>
      <c r="Y206" s="38">
        <v>0</v>
      </c>
      <c r="Z206" s="38">
        <f>+T206*0.235*0.3</f>
        <v>1516725.0486637498</v>
      </c>
      <c r="AA206" s="91">
        <f>+T206-Z206-AB206</f>
        <v>18706275.600186247</v>
      </c>
      <c r="AB206" s="91">
        <f>+T206*0.06</f>
        <v>1290829.8286499998</v>
      </c>
      <c r="AC206" s="91">
        <v>0</v>
      </c>
      <c r="AD206" s="91">
        <f>+T206*0.01</f>
        <v>215138.304775</v>
      </c>
      <c r="AE206" s="91">
        <v>0</v>
      </c>
      <c r="AF206" s="91">
        <f>+AD206*1.15</f>
        <v>247409.05049124997</v>
      </c>
      <c r="AG206" s="204">
        <v>0</v>
      </c>
    </row>
    <row r="207" spans="1:33" s="103" customFormat="1" ht="90" customHeight="1">
      <c r="A207" s="102">
        <f t="shared" si="42"/>
        <v>186</v>
      </c>
      <c r="B207" s="52" t="s">
        <v>488</v>
      </c>
      <c r="C207" s="51" t="s">
        <v>489</v>
      </c>
      <c r="D207" s="35" t="s">
        <v>65</v>
      </c>
      <c r="E207" s="35">
        <v>800034897</v>
      </c>
      <c r="F207" s="36" t="s">
        <v>67</v>
      </c>
      <c r="G207" s="35" t="s">
        <v>48</v>
      </c>
      <c r="H207" s="51" t="s">
        <v>74</v>
      </c>
      <c r="I207" s="34" t="s">
        <v>389</v>
      </c>
      <c r="J207" s="52" t="s">
        <v>75</v>
      </c>
      <c r="K207" s="52" t="s">
        <v>60</v>
      </c>
      <c r="L207" s="51" t="s">
        <v>61</v>
      </c>
      <c r="M207" s="51" t="s">
        <v>117</v>
      </c>
      <c r="N207" s="36" t="s">
        <v>50</v>
      </c>
      <c r="O207" s="51"/>
      <c r="P207" s="51" t="s">
        <v>490</v>
      </c>
      <c r="Q207" s="37">
        <v>42095</v>
      </c>
      <c r="R207" s="37">
        <v>42718</v>
      </c>
      <c r="S207" s="35" t="s">
        <v>96</v>
      </c>
      <c r="T207" s="38">
        <v>6000000</v>
      </c>
      <c r="U207" s="39"/>
      <c r="V207" s="131"/>
      <c r="W207" s="38">
        <v>0</v>
      </c>
      <c r="X207" s="38">
        <v>0</v>
      </c>
      <c r="Y207" s="132">
        <v>0</v>
      </c>
      <c r="Z207" s="38">
        <v>300000</v>
      </c>
      <c r="AA207" s="91"/>
      <c r="AB207" s="91"/>
      <c r="AC207" s="91"/>
      <c r="AD207" s="91"/>
      <c r="AE207" s="91"/>
      <c r="AF207" s="91"/>
      <c r="AG207" s="204"/>
    </row>
    <row r="208" spans="1:33" s="103" customFormat="1" ht="90" customHeight="1">
      <c r="A208" s="102">
        <f t="shared" si="42"/>
        <v>187</v>
      </c>
      <c r="B208" s="52" t="s">
        <v>491</v>
      </c>
      <c r="C208" s="51" t="s">
        <v>492</v>
      </c>
      <c r="D208" s="35" t="s">
        <v>493</v>
      </c>
      <c r="E208" s="35">
        <v>800014613</v>
      </c>
      <c r="F208" s="36" t="s">
        <v>67</v>
      </c>
      <c r="G208" s="35" t="s">
        <v>48</v>
      </c>
      <c r="H208" s="51" t="s">
        <v>97</v>
      </c>
      <c r="I208" s="34" t="s">
        <v>354</v>
      </c>
      <c r="J208" s="52" t="s">
        <v>164</v>
      </c>
      <c r="K208" s="52"/>
      <c r="L208" s="51" t="s">
        <v>49</v>
      </c>
      <c r="M208" s="51" t="s">
        <v>100</v>
      </c>
      <c r="N208" s="36" t="s">
        <v>50</v>
      </c>
      <c r="O208" s="51"/>
      <c r="P208" s="51" t="s">
        <v>494</v>
      </c>
      <c r="Q208" s="37">
        <v>42095</v>
      </c>
      <c r="R208" s="37">
        <v>42734</v>
      </c>
      <c r="S208" s="35" t="s">
        <v>87</v>
      </c>
      <c r="T208" s="38">
        <v>20231138.239999998</v>
      </c>
      <c r="U208" s="39"/>
      <c r="V208" s="131"/>
      <c r="W208" s="38">
        <v>0</v>
      </c>
      <c r="X208" s="38">
        <v>1011556.91</v>
      </c>
      <c r="Y208" s="132">
        <f>+T208-X208-Z208</f>
        <v>18005713.035599999</v>
      </c>
      <c r="Z208" s="38">
        <f>+T208*0.06</f>
        <v>1213868.2943999998</v>
      </c>
      <c r="AA208" s="91">
        <v>0</v>
      </c>
      <c r="AB208" s="91">
        <f>+T208*0.01</f>
        <v>202311.3824</v>
      </c>
      <c r="AC208" s="91">
        <v>0</v>
      </c>
      <c r="AD208" s="91">
        <f>+AB208*1.15</f>
        <v>232658.08975999997</v>
      </c>
      <c r="AE208" s="91">
        <v>0</v>
      </c>
      <c r="AF208" s="91">
        <f>+AD208*1.15</f>
        <v>267556.80322399997</v>
      </c>
      <c r="AG208" s="204">
        <v>0</v>
      </c>
    </row>
    <row r="209" spans="1:33" s="103" customFormat="1" ht="90" customHeight="1">
      <c r="A209" s="102">
        <f t="shared" si="42"/>
        <v>188</v>
      </c>
      <c r="B209" s="52" t="s">
        <v>495</v>
      </c>
      <c r="C209" s="51" t="s">
        <v>496</v>
      </c>
      <c r="D209" s="35" t="s">
        <v>65</v>
      </c>
      <c r="E209" s="35">
        <v>800015586</v>
      </c>
      <c r="F209" s="36" t="s">
        <v>67</v>
      </c>
      <c r="G209" s="35" t="s">
        <v>48</v>
      </c>
      <c r="H209" s="51" t="s">
        <v>97</v>
      </c>
      <c r="I209" s="34" t="s">
        <v>98</v>
      </c>
      <c r="J209" s="52" t="s">
        <v>99</v>
      </c>
      <c r="K209" s="52"/>
      <c r="L209" s="51" t="s">
        <v>49</v>
      </c>
      <c r="M209" s="51" t="s">
        <v>100</v>
      </c>
      <c r="N209" s="36" t="s">
        <v>50</v>
      </c>
      <c r="O209" s="51"/>
      <c r="P209" s="51" t="s">
        <v>497</v>
      </c>
      <c r="Q209" s="37">
        <v>41883</v>
      </c>
      <c r="R209" s="37">
        <v>42277</v>
      </c>
      <c r="S209" s="35" t="s">
        <v>96</v>
      </c>
      <c r="T209" s="38">
        <v>17000000</v>
      </c>
      <c r="U209" s="39"/>
      <c r="V209" s="131"/>
      <c r="W209" s="38">
        <v>0</v>
      </c>
      <c r="X209" s="38">
        <v>0</v>
      </c>
      <c r="Y209" s="132">
        <f>+T209*0.235*0.3</f>
        <v>1198500</v>
      </c>
      <c r="Z209" s="38">
        <f>+T209-Y209-AA209</f>
        <v>14951500</v>
      </c>
      <c r="AA209" s="91">
        <f>+T209*0.05</f>
        <v>850000</v>
      </c>
      <c r="AB209" s="91">
        <v>0</v>
      </c>
      <c r="AC209" s="91">
        <f>+AA209*0.1</f>
        <v>85000</v>
      </c>
      <c r="AD209" s="91">
        <v>0</v>
      </c>
      <c r="AE209" s="91">
        <f>+AC209*1.15</f>
        <v>97749.999999999985</v>
      </c>
      <c r="AF209" s="91">
        <v>0</v>
      </c>
      <c r="AG209" s="204">
        <f>+AE209*1.15</f>
        <v>112412.49999999997</v>
      </c>
    </row>
    <row r="210" spans="1:33" s="103" customFormat="1" ht="90" customHeight="1">
      <c r="A210" s="102">
        <f t="shared" si="42"/>
        <v>189</v>
      </c>
      <c r="B210" s="52" t="s">
        <v>432</v>
      </c>
      <c r="C210" s="51" t="s">
        <v>498</v>
      </c>
      <c r="D210" s="35" t="s">
        <v>65</v>
      </c>
      <c r="E210" s="35">
        <v>800034924</v>
      </c>
      <c r="F210" s="36" t="s">
        <v>67</v>
      </c>
      <c r="G210" s="35" t="s">
        <v>48</v>
      </c>
      <c r="H210" s="51" t="s">
        <v>74</v>
      </c>
      <c r="I210" s="34" t="s">
        <v>309</v>
      </c>
      <c r="J210" s="52" t="s">
        <v>75</v>
      </c>
      <c r="K210" s="52" t="s">
        <v>60</v>
      </c>
      <c r="L210" s="51" t="s">
        <v>262</v>
      </c>
      <c r="M210" s="51" t="s">
        <v>298</v>
      </c>
      <c r="N210" s="36" t="s">
        <v>50</v>
      </c>
      <c r="O210" s="51"/>
      <c r="P210" s="51" t="s">
        <v>1017</v>
      </c>
      <c r="Q210" s="37">
        <v>42826</v>
      </c>
      <c r="R210" s="37">
        <v>43190</v>
      </c>
      <c r="S210" s="35" t="s">
        <v>52</v>
      </c>
      <c r="T210" s="38">
        <f>+(1823640+19*((1141850+1714473+2097122)/9)+3658606+1293526+1350713*4+24*(1022001/14)+300000+350000+929210+750000+150000)*1.23*1.07</f>
        <v>35359801.486404762</v>
      </c>
      <c r="U210" s="39"/>
      <c r="V210" s="131"/>
      <c r="W210" s="38">
        <v>0</v>
      </c>
      <c r="X210" s="38">
        <f>+T210*0.35</f>
        <v>12375930.520241667</v>
      </c>
      <c r="Y210" s="38">
        <f>+T210-X210</f>
        <v>22983870.966163095</v>
      </c>
      <c r="Z210" s="38">
        <v>0</v>
      </c>
      <c r="AA210" s="91">
        <f>+T210*0.01</f>
        <v>353598.01486404764</v>
      </c>
      <c r="AB210" s="91">
        <v>0</v>
      </c>
      <c r="AC210" s="91">
        <f>+AA210*1.15</f>
        <v>406637.71709365473</v>
      </c>
      <c r="AD210" s="91">
        <v>0</v>
      </c>
      <c r="AE210" s="91">
        <f>+AC210*1.15</f>
        <v>467633.37465770292</v>
      </c>
      <c r="AF210" s="91">
        <v>0</v>
      </c>
      <c r="AG210" s="204">
        <f>+AE210*1.15</f>
        <v>537778.38085635833</v>
      </c>
    </row>
    <row r="211" spans="1:33" s="103" customFormat="1" ht="90" customHeight="1">
      <c r="A211" s="102">
        <f t="shared" si="42"/>
        <v>190</v>
      </c>
      <c r="B211" s="52" t="s">
        <v>499</v>
      </c>
      <c r="C211" s="51" t="s">
        <v>500</v>
      </c>
      <c r="D211" s="35" t="s">
        <v>331</v>
      </c>
      <c r="E211" s="35">
        <v>800035206</v>
      </c>
      <c r="F211" s="36" t="s">
        <v>67</v>
      </c>
      <c r="G211" s="35" t="s">
        <v>48</v>
      </c>
      <c r="H211" s="51" t="s">
        <v>74</v>
      </c>
      <c r="I211" s="34" t="s">
        <v>467</v>
      </c>
      <c r="J211" s="52" t="s">
        <v>75</v>
      </c>
      <c r="K211" s="52" t="s">
        <v>60</v>
      </c>
      <c r="L211" s="51" t="s">
        <v>49</v>
      </c>
      <c r="M211" s="51" t="s">
        <v>100</v>
      </c>
      <c r="N211" s="36" t="s">
        <v>50</v>
      </c>
      <c r="O211" s="51"/>
      <c r="P211" s="51" t="s">
        <v>1028</v>
      </c>
      <c r="Q211" s="37">
        <v>41730</v>
      </c>
      <c r="R211" s="37">
        <v>42369</v>
      </c>
      <c r="S211" s="35" t="s">
        <v>87</v>
      </c>
      <c r="T211" s="38">
        <f>+(1823640+12*((1141850+1714473+2097122)/9)+1293526+1247367+1350713*3+4298671+18*(1022001/14)+929210+300000+750000+150000)*1.23*1.07</f>
        <v>29958578.581428573</v>
      </c>
      <c r="U211" s="39"/>
      <c r="V211" s="131"/>
      <c r="W211" s="38">
        <v>0</v>
      </c>
      <c r="X211" s="38">
        <v>1217258.03</v>
      </c>
      <c r="Y211" s="132">
        <v>15000000</v>
      </c>
      <c r="Z211" s="38">
        <v>8127902.5599999996</v>
      </c>
      <c r="AA211" s="91">
        <v>0</v>
      </c>
      <c r="AB211" s="91">
        <f>+T211*0.01</f>
        <v>299585.78581428574</v>
      </c>
      <c r="AC211" s="91">
        <v>0</v>
      </c>
      <c r="AD211" s="91">
        <f>+AB211*1.15</f>
        <v>344523.65368642856</v>
      </c>
      <c r="AE211" s="91">
        <v>0</v>
      </c>
      <c r="AF211" s="91">
        <f>+AD211*1.15</f>
        <v>396202.20173939283</v>
      </c>
      <c r="AG211" s="204">
        <v>0</v>
      </c>
    </row>
    <row r="212" spans="1:33" s="103" customFormat="1" ht="90" customHeight="1">
      <c r="A212" s="102">
        <f t="shared" si="42"/>
        <v>191</v>
      </c>
      <c r="B212" s="52" t="s">
        <v>501</v>
      </c>
      <c r="C212" s="51" t="s">
        <v>502</v>
      </c>
      <c r="D212" s="35" t="s">
        <v>73</v>
      </c>
      <c r="E212" s="35">
        <v>800018770</v>
      </c>
      <c r="F212" s="36" t="s">
        <v>67</v>
      </c>
      <c r="G212" s="35" t="s">
        <v>48</v>
      </c>
      <c r="H212" s="51" t="s">
        <v>97</v>
      </c>
      <c r="I212" s="34" t="s">
        <v>214</v>
      </c>
      <c r="J212" s="52" t="s">
        <v>169</v>
      </c>
      <c r="K212" s="52" t="s">
        <v>60</v>
      </c>
      <c r="L212" s="51" t="s">
        <v>61</v>
      </c>
      <c r="M212" s="51" t="s">
        <v>117</v>
      </c>
      <c r="N212" s="36" t="s">
        <v>50</v>
      </c>
      <c r="O212" s="51"/>
      <c r="P212" s="51" t="s">
        <v>503</v>
      </c>
      <c r="Q212" s="37">
        <v>42461</v>
      </c>
      <c r="R212" s="37">
        <v>43100</v>
      </c>
      <c r="S212" s="35" t="s">
        <v>96</v>
      </c>
      <c r="T212" s="38">
        <f>+(1350713*1.07+16*190000+450000+270000*2+300000+600000)*1.23</f>
        <v>7841573.3793000001</v>
      </c>
      <c r="U212" s="39"/>
      <c r="V212" s="131"/>
      <c r="W212" s="38">
        <v>0</v>
      </c>
      <c r="X212" s="38">
        <v>0</v>
      </c>
      <c r="Y212" s="132">
        <f>+T212*0.235*0.3</f>
        <v>552830.92324064998</v>
      </c>
      <c r="Z212" s="38">
        <f>+T212-Y212-AA212</f>
        <v>7288742.4560593497</v>
      </c>
      <c r="AA212" s="91">
        <v>0</v>
      </c>
      <c r="AB212" s="91">
        <f>+T212*0.01</f>
        <v>78415.733793000007</v>
      </c>
      <c r="AC212" s="91">
        <v>0</v>
      </c>
      <c r="AD212" s="91">
        <f>+AB212*1.15</f>
        <v>90178.093861949994</v>
      </c>
      <c r="AE212" s="91">
        <v>0</v>
      </c>
      <c r="AF212" s="91">
        <f>+AD212*1.15</f>
        <v>103704.80794124248</v>
      </c>
      <c r="AG212" s="204">
        <v>0</v>
      </c>
    </row>
    <row r="213" spans="1:33" s="103" customFormat="1" ht="90" customHeight="1">
      <c r="A213" s="102">
        <f t="shared" si="42"/>
        <v>192</v>
      </c>
      <c r="B213" s="52" t="s">
        <v>504</v>
      </c>
      <c r="C213" s="51" t="s">
        <v>204</v>
      </c>
      <c r="D213" s="35" t="s">
        <v>331</v>
      </c>
      <c r="E213" s="35">
        <v>8000035173</v>
      </c>
      <c r="F213" s="36" t="s">
        <v>67</v>
      </c>
      <c r="G213" s="35" t="s">
        <v>48</v>
      </c>
      <c r="H213" s="51" t="s">
        <v>74</v>
      </c>
      <c r="I213" s="34" t="s">
        <v>204</v>
      </c>
      <c r="J213" s="52" t="s">
        <v>75</v>
      </c>
      <c r="K213" s="52" t="s">
        <v>60</v>
      </c>
      <c r="L213" s="51" t="s">
        <v>61</v>
      </c>
      <c r="M213" s="51" t="s">
        <v>117</v>
      </c>
      <c r="N213" s="36" t="s">
        <v>50</v>
      </c>
      <c r="O213" s="51"/>
      <c r="P213" s="51" t="s">
        <v>505</v>
      </c>
      <c r="Q213" s="37">
        <v>41730</v>
      </c>
      <c r="R213" s="37">
        <v>42735</v>
      </c>
      <c r="S213" s="35" t="s">
        <v>96</v>
      </c>
      <c r="T213" s="38">
        <v>20552705.460000001</v>
      </c>
      <c r="U213" s="39"/>
      <c r="V213" s="131"/>
      <c r="W213" s="38">
        <v>0</v>
      </c>
      <c r="X213" s="38">
        <v>0</v>
      </c>
      <c r="Y213" s="38">
        <v>0</v>
      </c>
      <c r="Z213" s="38">
        <f>+T213*0.235*0.3</f>
        <v>1448965.7349299998</v>
      </c>
      <c r="AA213" s="91">
        <f>+T213-Z213-AB213</f>
        <v>17870577.397470001</v>
      </c>
      <c r="AB213" s="91">
        <f>+T213*0.06</f>
        <v>1233162.3276</v>
      </c>
      <c r="AC213" s="91">
        <v>0</v>
      </c>
      <c r="AD213" s="91">
        <f>+T213*0.06</f>
        <v>1233162.3276</v>
      </c>
      <c r="AE213" s="91">
        <v>0</v>
      </c>
      <c r="AF213" s="91">
        <f>+AD213*1.15</f>
        <v>1418136.6767399998</v>
      </c>
      <c r="AG213" s="204">
        <v>0</v>
      </c>
    </row>
    <row r="214" spans="1:33" s="103" customFormat="1" ht="90" customHeight="1">
      <c r="A214" s="102">
        <f t="shared" si="42"/>
        <v>193</v>
      </c>
      <c r="B214" s="52" t="s">
        <v>506</v>
      </c>
      <c r="C214" s="51" t="s">
        <v>507</v>
      </c>
      <c r="D214" s="35" t="s">
        <v>474</v>
      </c>
      <c r="E214" s="35">
        <v>800029926</v>
      </c>
      <c r="F214" s="36" t="s">
        <v>67</v>
      </c>
      <c r="G214" s="35" t="s">
        <v>48</v>
      </c>
      <c r="H214" s="51" t="s">
        <v>57</v>
      </c>
      <c r="I214" s="34" t="s">
        <v>58</v>
      </c>
      <c r="J214" s="52" t="s">
        <v>59</v>
      </c>
      <c r="K214" s="52" t="s">
        <v>60</v>
      </c>
      <c r="L214" s="51" t="s">
        <v>61</v>
      </c>
      <c r="M214" s="51" t="s">
        <v>117</v>
      </c>
      <c r="N214" s="36" t="s">
        <v>50</v>
      </c>
      <c r="O214" s="51"/>
      <c r="P214" s="51" t="s">
        <v>508</v>
      </c>
      <c r="Q214" s="37">
        <v>41730</v>
      </c>
      <c r="R214" s="37">
        <v>42369</v>
      </c>
      <c r="S214" s="35" t="s">
        <v>96</v>
      </c>
      <c r="T214" s="38">
        <v>25000000</v>
      </c>
      <c r="U214" s="39"/>
      <c r="V214" s="131"/>
      <c r="W214" s="38">
        <v>0</v>
      </c>
      <c r="X214" s="38">
        <v>0</v>
      </c>
      <c r="Y214" s="132">
        <f>+T214*0.235*0.3</f>
        <v>1762500</v>
      </c>
      <c r="Z214" s="38">
        <f>+T214-Y214-AA214</f>
        <v>21987500</v>
      </c>
      <c r="AA214" s="91">
        <f>+T214*0.05</f>
        <v>1250000</v>
      </c>
      <c r="AB214" s="91">
        <v>0</v>
      </c>
      <c r="AC214" s="91">
        <f>+AA214*0.1</f>
        <v>125000</v>
      </c>
      <c r="AD214" s="91">
        <v>0</v>
      </c>
      <c r="AE214" s="91">
        <f>+AC214*1.15</f>
        <v>143750</v>
      </c>
      <c r="AF214" s="91">
        <v>0</v>
      </c>
      <c r="AG214" s="204">
        <f>+AE214*1.15</f>
        <v>165312.5</v>
      </c>
    </row>
    <row r="215" spans="1:33" s="103" customFormat="1" ht="90" customHeight="1">
      <c r="A215" s="102">
        <f t="shared" si="42"/>
        <v>194</v>
      </c>
      <c r="B215" s="52" t="s">
        <v>509</v>
      </c>
      <c r="C215" s="51" t="s">
        <v>510</v>
      </c>
      <c r="D215" s="35" t="s">
        <v>65</v>
      </c>
      <c r="E215" s="35">
        <v>800024844</v>
      </c>
      <c r="F215" s="36" t="s">
        <v>67</v>
      </c>
      <c r="G215" s="35" t="s">
        <v>48</v>
      </c>
      <c r="H215" s="51" t="s">
        <v>57</v>
      </c>
      <c r="I215" s="34" t="s">
        <v>58</v>
      </c>
      <c r="J215" s="52" t="s">
        <v>59</v>
      </c>
      <c r="K215" s="52" t="s">
        <v>60</v>
      </c>
      <c r="L215" s="51" t="s">
        <v>49</v>
      </c>
      <c r="M215" s="51" t="s">
        <v>100</v>
      </c>
      <c r="N215" s="36" t="s">
        <v>50</v>
      </c>
      <c r="O215" s="51"/>
      <c r="P215" s="51" t="s">
        <v>511</v>
      </c>
      <c r="Q215" s="37">
        <v>42125</v>
      </c>
      <c r="R215" s="37">
        <v>42735</v>
      </c>
      <c r="S215" s="35" t="s">
        <v>96</v>
      </c>
      <c r="T215" s="38">
        <v>26554248</v>
      </c>
      <c r="U215" s="39"/>
      <c r="V215" s="131"/>
      <c r="W215" s="38">
        <v>0</v>
      </c>
      <c r="X215" s="38">
        <v>0</v>
      </c>
      <c r="Y215" s="38">
        <v>0</v>
      </c>
      <c r="Z215" s="38">
        <f>+T215*0.235*0.3</f>
        <v>1872074.4839999997</v>
      </c>
      <c r="AA215" s="91">
        <f>+T215-Z215-AB215</f>
        <v>23088918.636</v>
      </c>
      <c r="AB215" s="91">
        <f>+T215*0.06</f>
        <v>1593254.88</v>
      </c>
      <c r="AC215" s="91">
        <v>0</v>
      </c>
      <c r="AD215" s="91">
        <f>+T215*0.01</f>
        <v>265542.48</v>
      </c>
      <c r="AE215" s="91">
        <v>0</v>
      </c>
      <c r="AF215" s="91">
        <f>+AD215*1.15</f>
        <v>305373.85199999996</v>
      </c>
      <c r="AG215" s="204">
        <v>0</v>
      </c>
    </row>
    <row r="216" spans="1:33" s="103" customFormat="1" ht="90" customHeight="1">
      <c r="A216" s="102">
        <f t="shared" ref="A216:A279" si="45">+A215+1</f>
        <v>195</v>
      </c>
      <c r="B216" s="52"/>
      <c r="C216" s="51" t="s">
        <v>512</v>
      </c>
      <c r="D216" s="35" t="s">
        <v>65</v>
      </c>
      <c r="E216" s="35">
        <v>800035482</v>
      </c>
      <c r="F216" s="36" t="s">
        <v>67</v>
      </c>
      <c r="G216" s="35" t="s">
        <v>48</v>
      </c>
      <c r="H216" s="51" t="s">
        <v>68</v>
      </c>
      <c r="I216" s="34" t="s">
        <v>513</v>
      </c>
      <c r="J216" s="52" t="s">
        <v>75</v>
      </c>
      <c r="K216" s="52" t="s">
        <v>60</v>
      </c>
      <c r="L216" s="51" t="s">
        <v>49</v>
      </c>
      <c r="M216" s="51" t="s">
        <v>100</v>
      </c>
      <c r="N216" s="36" t="s">
        <v>50</v>
      </c>
      <c r="O216" s="51"/>
      <c r="P216" s="51" t="s">
        <v>514</v>
      </c>
      <c r="Q216" s="37">
        <v>42156</v>
      </c>
      <c r="R216" s="37">
        <v>42308</v>
      </c>
      <c r="S216" s="35" t="s">
        <v>52</v>
      </c>
      <c r="T216" s="38">
        <v>1090680</v>
      </c>
      <c r="U216" s="39"/>
      <c r="V216" s="131"/>
      <c r="W216" s="38">
        <v>0</v>
      </c>
      <c r="X216" s="38">
        <f>+T216</f>
        <v>1090680</v>
      </c>
      <c r="Y216" s="38">
        <v>0</v>
      </c>
      <c r="Z216" s="38">
        <v>0</v>
      </c>
      <c r="AA216" s="91">
        <v>0</v>
      </c>
      <c r="AB216" s="91">
        <v>0</v>
      </c>
      <c r="AC216" s="91">
        <v>0</v>
      </c>
      <c r="AD216" s="91">
        <v>0</v>
      </c>
      <c r="AE216" s="91">
        <v>0</v>
      </c>
      <c r="AF216" s="91">
        <v>0</v>
      </c>
      <c r="AG216" s="204">
        <v>0</v>
      </c>
    </row>
    <row r="217" spans="1:33" s="103" customFormat="1" ht="90" customHeight="1">
      <c r="A217" s="102">
        <f t="shared" si="45"/>
        <v>196</v>
      </c>
      <c r="B217" s="52"/>
      <c r="C217" s="51" t="s">
        <v>515</v>
      </c>
      <c r="D217" s="35" t="s">
        <v>65</v>
      </c>
      <c r="E217" s="35">
        <v>800035050</v>
      </c>
      <c r="F217" s="36" t="s">
        <v>67</v>
      </c>
      <c r="G217" s="35" t="s">
        <v>48</v>
      </c>
      <c r="H217" s="51" t="s">
        <v>68</v>
      </c>
      <c r="I217" s="34" t="s">
        <v>425</v>
      </c>
      <c r="J217" s="52" t="s">
        <v>75</v>
      </c>
      <c r="K217" s="52" t="s">
        <v>60</v>
      </c>
      <c r="L217" s="51" t="s">
        <v>49</v>
      </c>
      <c r="M217" s="51" t="s">
        <v>100</v>
      </c>
      <c r="N217" s="36" t="s">
        <v>50</v>
      </c>
      <c r="O217" s="51"/>
      <c r="P217" s="51" t="s">
        <v>514</v>
      </c>
      <c r="Q217" s="37">
        <v>41760</v>
      </c>
      <c r="R217" s="37">
        <v>42094</v>
      </c>
      <c r="S217" s="35" t="s">
        <v>52</v>
      </c>
      <c r="T217" s="38">
        <v>1090680</v>
      </c>
      <c r="U217" s="39"/>
      <c r="V217" s="131"/>
      <c r="W217" s="38">
        <v>0</v>
      </c>
      <c r="X217" s="38">
        <f t="shared" ref="X217:X242" si="46">+T217</f>
        <v>1090680</v>
      </c>
      <c r="Y217" s="38">
        <v>0</v>
      </c>
      <c r="Z217" s="38">
        <v>0</v>
      </c>
      <c r="AA217" s="91">
        <v>0</v>
      </c>
      <c r="AB217" s="91">
        <v>0</v>
      </c>
      <c r="AC217" s="91">
        <v>0</v>
      </c>
      <c r="AD217" s="91">
        <v>0</v>
      </c>
      <c r="AE217" s="91">
        <v>0</v>
      </c>
      <c r="AF217" s="91">
        <v>0</v>
      </c>
      <c r="AG217" s="204">
        <v>0</v>
      </c>
    </row>
    <row r="218" spans="1:33" s="103" customFormat="1" ht="90" customHeight="1">
      <c r="A218" s="102">
        <f t="shared" si="45"/>
        <v>197</v>
      </c>
      <c r="B218" s="52"/>
      <c r="C218" s="51" t="s">
        <v>516</v>
      </c>
      <c r="D218" s="35" t="s">
        <v>65</v>
      </c>
      <c r="E218" s="35"/>
      <c r="F218" s="36" t="s">
        <v>67</v>
      </c>
      <c r="G218" s="35" t="s">
        <v>48</v>
      </c>
      <c r="H218" s="51" t="s">
        <v>68</v>
      </c>
      <c r="I218" s="34"/>
      <c r="J218" s="52" t="s">
        <v>75</v>
      </c>
      <c r="K218" s="52" t="s">
        <v>60</v>
      </c>
      <c r="L218" s="51" t="s">
        <v>49</v>
      </c>
      <c r="M218" s="51" t="s">
        <v>100</v>
      </c>
      <c r="N218" s="36" t="s">
        <v>50</v>
      </c>
      <c r="O218" s="51"/>
      <c r="P218" s="51" t="s">
        <v>514</v>
      </c>
      <c r="Q218" s="37">
        <v>41760</v>
      </c>
      <c r="R218" s="37">
        <v>42094</v>
      </c>
      <c r="S218" s="35" t="s">
        <v>52</v>
      </c>
      <c r="T218" s="38">
        <v>1090680</v>
      </c>
      <c r="U218" s="39"/>
      <c r="V218" s="131"/>
      <c r="W218" s="38">
        <v>0</v>
      </c>
      <c r="X218" s="38">
        <f t="shared" si="46"/>
        <v>1090680</v>
      </c>
      <c r="Y218" s="38">
        <v>0</v>
      </c>
      <c r="Z218" s="38">
        <v>0</v>
      </c>
      <c r="AA218" s="91">
        <v>0</v>
      </c>
      <c r="AB218" s="91">
        <v>0</v>
      </c>
      <c r="AC218" s="91">
        <v>0</v>
      </c>
      <c r="AD218" s="91">
        <v>0</v>
      </c>
      <c r="AE218" s="91">
        <v>0</v>
      </c>
      <c r="AF218" s="91">
        <v>0</v>
      </c>
      <c r="AG218" s="204">
        <v>0</v>
      </c>
    </row>
    <row r="219" spans="1:33" s="103" customFormat="1" ht="90" customHeight="1">
      <c r="A219" s="102">
        <f t="shared" si="45"/>
        <v>198</v>
      </c>
      <c r="B219" s="52"/>
      <c r="C219" s="51" t="s">
        <v>517</v>
      </c>
      <c r="D219" s="35" t="s">
        <v>65</v>
      </c>
      <c r="E219" s="35">
        <v>800034935</v>
      </c>
      <c r="F219" s="36" t="s">
        <v>67</v>
      </c>
      <c r="G219" s="35" t="s">
        <v>48</v>
      </c>
      <c r="H219" s="51" t="s">
        <v>68</v>
      </c>
      <c r="I219" s="34" t="s">
        <v>79</v>
      </c>
      <c r="J219" s="52" t="s">
        <v>75</v>
      </c>
      <c r="K219" s="52" t="s">
        <v>60</v>
      </c>
      <c r="L219" s="51" t="s">
        <v>49</v>
      </c>
      <c r="M219" s="51" t="s">
        <v>100</v>
      </c>
      <c r="N219" s="36" t="s">
        <v>50</v>
      </c>
      <c r="O219" s="51"/>
      <c r="P219" s="51" t="s">
        <v>514</v>
      </c>
      <c r="Q219" s="37">
        <v>41760</v>
      </c>
      <c r="R219" s="37">
        <v>42094</v>
      </c>
      <c r="S219" s="35" t="s">
        <v>52</v>
      </c>
      <c r="T219" s="38">
        <v>1305240</v>
      </c>
      <c r="U219" s="39"/>
      <c r="V219" s="131"/>
      <c r="W219" s="38">
        <v>0</v>
      </c>
      <c r="X219" s="38">
        <f t="shared" si="46"/>
        <v>1305240</v>
      </c>
      <c r="Y219" s="38">
        <v>0</v>
      </c>
      <c r="Z219" s="38">
        <v>0</v>
      </c>
      <c r="AA219" s="91">
        <v>0</v>
      </c>
      <c r="AB219" s="91">
        <v>0</v>
      </c>
      <c r="AC219" s="91">
        <v>0</v>
      </c>
      <c r="AD219" s="91">
        <v>0</v>
      </c>
      <c r="AE219" s="91">
        <v>0</v>
      </c>
      <c r="AF219" s="91">
        <v>0</v>
      </c>
      <c r="AG219" s="204">
        <v>0</v>
      </c>
    </row>
    <row r="220" spans="1:33" s="103" customFormat="1" ht="90" customHeight="1">
      <c r="A220" s="102">
        <f t="shared" si="45"/>
        <v>199</v>
      </c>
      <c r="B220" s="52"/>
      <c r="C220" s="51" t="s">
        <v>518</v>
      </c>
      <c r="D220" s="35" t="s">
        <v>65</v>
      </c>
      <c r="E220" s="35">
        <v>800035152</v>
      </c>
      <c r="F220" s="36" t="s">
        <v>67</v>
      </c>
      <c r="G220" s="35" t="s">
        <v>48</v>
      </c>
      <c r="H220" s="51" t="s">
        <v>68</v>
      </c>
      <c r="I220" s="34" t="s">
        <v>204</v>
      </c>
      <c r="J220" s="52" t="s">
        <v>75</v>
      </c>
      <c r="K220" s="52" t="s">
        <v>60</v>
      </c>
      <c r="L220" s="51" t="s">
        <v>49</v>
      </c>
      <c r="M220" s="51" t="s">
        <v>100</v>
      </c>
      <c r="N220" s="36" t="s">
        <v>50</v>
      </c>
      <c r="O220" s="51"/>
      <c r="P220" s="51" t="s">
        <v>514</v>
      </c>
      <c r="Q220" s="37">
        <v>41760</v>
      </c>
      <c r="R220" s="37">
        <v>42094</v>
      </c>
      <c r="S220" s="35" t="s">
        <v>52</v>
      </c>
      <c r="T220" s="38">
        <v>1184550</v>
      </c>
      <c r="U220" s="39"/>
      <c r="V220" s="131"/>
      <c r="W220" s="38">
        <v>0</v>
      </c>
      <c r="X220" s="38">
        <f t="shared" si="46"/>
        <v>1184550</v>
      </c>
      <c r="Y220" s="38">
        <v>0</v>
      </c>
      <c r="Z220" s="38">
        <v>0</v>
      </c>
      <c r="AA220" s="91">
        <v>0</v>
      </c>
      <c r="AB220" s="91">
        <v>0</v>
      </c>
      <c r="AC220" s="91">
        <v>0</v>
      </c>
      <c r="AD220" s="91">
        <v>0</v>
      </c>
      <c r="AE220" s="91">
        <v>0</v>
      </c>
      <c r="AF220" s="91">
        <v>0</v>
      </c>
      <c r="AG220" s="204">
        <v>0</v>
      </c>
    </row>
    <row r="221" spans="1:33" s="103" customFormat="1" ht="90" customHeight="1">
      <c r="A221" s="102">
        <f t="shared" si="45"/>
        <v>200</v>
      </c>
      <c r="B221" s="52"/>
      <c r="C221" s="51" t="s">
        <v>519</v>
      </c>
      <c r="D221" s="35" t="s">
        <v>73</v>
      </c>
      <c r="E221" s="35">
        <v>800035053</v>
      </c>
      <c r="F221" s="36" t="s">
        <v>67</v>
      </c>
      <c r="G221" s="35" t="s">
        <v>48</v>
      </c>
      <c r="H221" s="51" t="s">
        <v>68</v>
      </c>
      <c r="I221" s="34" t="s">
        <v>425</v>
      </c>
      <c r="J221" s="52" t="s">
        <v>75</v>
      </c>
      <c r="K221" s="52" t="s">
        <v>60</v>
      </c>
      <c r="L221" s="51" t="s">
        <v>49</v>
      </c>
      <c r="M221" s="51" t="s">
        <v>100</v>
      </c>
      <c r="N221" s="36" t="s">
        <v>50</v>
      </c>
      <c r="O221" s="51"/>
      <c r="P221" s="51" t="s">
        <v>514</v>
      </c>
      <c r="Q221" s="37">
        <v>41760</v>
      </c>
      <c r="R221" s="37">
        <v>42094</v>
      </c>
      <c r="S221" s="35" t="s">
        <v>52</v>
      </c>
      <c r="T221" s="38">
        <v>1090680</v>
      </c>
      <c r="U221" s="39"/>
      <c r="V221" s="131"/>
      <c r="W221" s="38">
        <v>0</v>
      </c>
      <c r="X221" s="38">
        <f t="shared" si="46"/>
        <v>1090680</v>
      </c>
      <c r="Y221" s="38">
        <v>0</v>
      </c>
      <c r="Z221" s="38">
        <v>0</v>
      </c>
      <c r="AA221" s="91">
        <v>0</v>
      </c>
      <c r="AB221" s="91">
        <v>0</v>
      </c>
      <c r="AC221" s="91">
        <v>0</v>
      </c>
      <c r="AD221" s="91">
        <v>0</v>
      </c>
      <c r="AE221" s="91">
        <v>0</v>
      </c>
      <c r="AF221" s="91">
        <v>0</v>
      </c>
      <c r="AG221" s="204">
        <v>0</v>
      </c>
    </row>
    <row r="222" spans="1:33" s="103" customFormat="1" ht="90" customHeight="1">
      <c r="A222" s="102">
        <f t="shared" si="45"/>
        <v>201</v>
      </c>
      <c r="B222" s="52"/>
      <c r="C222" s="51" t="s">
        <v>520</v>
      </c>
      <c r="D222" s="35" t="s">
        <v>65</v>
      </c>
      <c r="E222" s="35">
        <v>800035054</v>
      </c>
      <c r="F222" s="36" t="s">
        <v>67</v>
      </c>
      <c r="G222" s="35" t="s">
        <v>48</v>
      </c>
      <c r="H222" s="51" t="s">
        <v>68</v>
      </c>
      <c r="I222" s="34" t="s">
        <v>425</v>
      </c>
      <c r="J222" s="52" t="s">
        <v>75</v>
      </c>
      <c r="K222" s="52" t="s">
        <v>60</v>
      </c>
      <c r="L222" s="51" t="s">
        <v>49</v>
      </c>
      <c r="M222" s="51" t="s">
        <v>100</v>
      </c>
      <c r="N222" s="36" t="s">
        <v>50</v>
      </c>
      <c r="O222" s="51"/>
      <c r="P222" s="51" t="s">
        <v>514</v>
      </c>
      <c r="Q222" s="37">
        <v>41760</v>
      </c>
      <c r="R222" s="37">
        <v>42094</v>
      </c>
      <c r="S222" s="35" t="s">
        <v>52</v>
      </c>
      <c r="T222" s="38">
        <v>2842920</v>
      </c>
      <c r="U222" s="39"/>
      <c r="V222" s="131"/>
      <c r="W222" s="38">
        <v>0</v>
      </c>
      <c r="X222" s="38">
        <f t="shared" si="46"/>
        <v>2842920</v>
      </c>
      <c r="Y222" s="38">
        <v>0</v>
      </c>
      <c r="Z222" s="38">
        <v>0</v>
      </c>
      <c r="AA222" s="91">
        <v>0</v>
      </c>
      <c r="AB222" s="91">
        <v>0</v>
      </c>
      <c r="AC222" s="91">
        <v>0</v>
      </c>
      <c r="AD222" s="91">
        <v>0</v>
      </c>
      <c r="AE222" s="91">
        <v>0</v>
      </c>
      <c r="AF222" s="91">
        <v>0</v>
      </c>
      <c r="AG222" s="204">
        <v>0</v>
      </c>
    </row>
    <row r="223" spans="1:33" s="103" customFormat="1" ht="90" customHeight="1">
      <c r="A223" s="102">
        <f t="shared" si="45"/>
        <v>202</v>
      </c>
      <c r="B223" s="52"/>
      <c r="C223" s="51" t="s">
        <v>521</v>
      </c>
      <c r="D223" s="35" t="s">
        <v>65</v>
      </c>
      <c r="E223" s="35">
        <v>800035094</v>
      </c>
      <c r="F223" s="36" t="s">
        <v>67</v>
      </c>
      <c r="G223" s="35" t="s">
        <v>48</v>
      </c>
      <c r="H223" s="51" t="s">
        <v>68</v>
      </c>
      <c r="I223" s="34" t="s">
        <v>199</v>
      </c>
      <c r="J223" s="52" t="s">
        <v>75</v>
      </c>
      <c r="K223" s="52" t="s">
        <v>60</v>
      </c>
      <c r="L223" s="51" t="s">
        <v>49</v>
      </c>
      <c r="M223" s="51" t="s">
        <v>100</v>
      </c>
      <c r="N223" s="36" t="s">
        <v>50</v>
      </c>
      <c r="O223" s="51"/>
      <c r="P223" s="51" t="s">
        <v>514</v>
      </c>
      <c r="Q223" s="37">
        <v>41760</v>
      </c>
      <c r="R223" s="37">
        <v>42094</v>
      </c>
      <c r="S223" s="35" t="s">
        <v>52</v>
      </c>
      <c r="T223" s="38">
        <v>295020</v>
      </c>
      <c r="U223" s="39"/>
      <c r="V223" s="131"/>
      <c r="W223" s="38">
        <v>0</v>
      </c>
      <c r="X223" s="38">
        <f t="shared" si="46"/>
        <v>295020</v>
      </c>
      <c r="Y223" s="38">
        <v>0</v>
      </c>
      <c r="Z223" s="38">
        <v>0</v>
      </c>
      <c r="AA223" s="91">
        <v>0</v>
      </c>
      <c r="AB223" s="91">
        <v>0</v>
      </c>
      <c r="AC223" s="91">
        <v>0</v>
      </c>
      <c r="AD223" s="91">
        <v>0</v>
      </c>
      <c r="AE223" s="91">
        <v>0</v>
      </c>
      <c r="AF223" s="91">
        <v>0</v>
      </c>
      <c r="AG223" s="204">
        <v>0</v>
      </c>
    </row>
    <row r="224" spans="1:33" s="103" customFormat="1" ht="90" customHeight="1">
      <c r="A224" s="102">
        <f t="shared" si="45"/>
        <v>203</v>
      </c>
      <c r="B224" s="52"/>
      <c r="C224" s="51" t="s">
        <v>522</v>
      </c>
      <c r="D224" s="35" t="s">
        <v>65</v>
      </c>
      <c r="E224" s="35">
        <v>800034912</v>
      </c>
      <c r="F224" s="36" t="s">
        <v>67</v>
      </c>
      <c r="G224" s="35" t="s">
        <v>48</v>
      </c>
      <c r="H224" s="51" t="s">
        <v>68</v>
      </c>
      <c r="I224" s="34" t="s">
        <v>309</v>
      </c>
      <c r="J224" s="52" t="s">
        <v>75</v>
      </c>
      <c r="K224" s="52" t="s">
        <v>60</v>
      </c>
      <c r="L224" s="51" t="s">
        <v>49</v>
      </c>
      <c r="M224" s="51" t="s">
        <v>100</v>
      </c>
      <c r="N224" s="36" t="s">
        <v>50</v>
      </c>
      <c r="O224" s="51"/>
      <c r="P224" s="51" t="s">
        <v>514</v>
      </c>
      <c r="Q224" s="37">
        <v>41760</v>
      </c>
      <c r="R224" s="37">
        <v>42094</v>
      </c>
      <c r="S224" s="35" t="s">
        <v>52</v>
      </c>
      <c r="T224" s="38">
        <v>84930</v>
      </c>
      <c r="U224" s="39"/>
      <c r="V224" s="131"/>
      <c r="W224" s="38">
        <v>0</v>
      </c>
      <c r="X224" s="38">
        <f t="shared" si="46"/>
        <v>84930</v>
      </c>
      <c r="Y224" s="38">
        <v>0</v>
      </c>
      <c r="Z224" s="38">
        <v>0</v>
      </c>
      <c r="AA224" s="91">
        <v>0</v>
      </c>
      <c r="AB224" s="91">
        <v>0</v>
      </c>
      <c r="AC224" s="91">
        <v>0</v>
      </c>
      <c r="AD224" s="91">
        <v>0</v>
      </c>
      <c r="AE224" s="91">
        <v>0</v>
      </c>
      <c r="AF224" s="91">
        <v>0</v>
      </c>
      <c r="AG224" s="204">
        <v>0</v>
      </c>
    </row>
    <row r="225" spans="1:33" s="103" customFormat="1" ht="90" customHeight="1">
      <c r="A225" s="102">
        <f t="shared" si="45"/>
        <v>204</v>
      </c>
      <c r="B225" s="52"/>
      <c r="C225" s="51" t="s">
        <v>523</v>
      </c>
      <c r="D225" s="35" t="s">
        <v>65</v>
      </c>
      <c r="E225" s="35">
        <v>800035097</v>
      </c>
      <c r="F225" s="36" t="s">
        <v>67</v>
      </c>
      <c r="G225" s="35" t="s">
        <v>48</v>
      </c>
      <c r="H225" s="51" t="s">
        <v>68</v>
      </c>
      <c r="I225" s="34" t="s">
        <v>199</v>
      </c>
      <c r="J225" s="52" t="s">
        <v>75</v>
      </c>
      <c r="K225" s="52" t="s">
        <v>60</v>
      </c>
      <c r="L225" s="51" t="s">
        <v>49</v>
      </c>
      <c r="M225" s="51" t="s">
        <v>100</v>
      </c>
      <c r="N225" s="36" t="s">
        <v>50</v>
      </c>
      <c r="O225" s="51"/>
      <c r="P225" s="51" t="s">
        <v>514</v>
      </c>
      <c r="Q225" s="37">
        <v>41760</v>
      </c>
      <c r="R225" s="37">
        <v>42094</v>
      </c>
      <c r="S225" s="35" t="s">
        <v>52</v>
      </c>
      <c r="T225" s="38">
        <v>1636020</v>
      </c>
      <c r="U225" s="39"/>
      <c r="V225" s="131"/>
      <c r="W225" s="38">
        <v>0</v>
      </c>
      <c r="X225" s="38">
        <f t="shared" si="46"/>
        <v>1636020</v>
      </c>
      <c r="Y225" s="38">
        <v>0</v>
      </c>
      <c r="Z225" s="38">
        <v>0</v>
      </c>
      <c r="AA225" s="91">
        <v>0</v>
      </c>
      <c r="AB225" s="91">
        <v>0</v>
      </c>
      <c r="AC225" s="91">
        <v>0</v>
      </c>
      <c r="AD225" s="91">
        <v>0</v>
      </c>
      <c r="AE225" s="91">
        <v>0</v>
      </c>
      <c r="AF225" s="91">
        <v>0</v>
      </c>
      <c r="AG225" s="204">
        <v>0</v>
      </c>
    </row>
    <row r="226" spans="1:33" s="103" customFormat="1" ht="90" customHeight="1">
      <c r="A226" s="102">
        <f t="shared" si="45"/>
        <v>205</v>
      </c>
      <c r="B226" s="52"/>
      <c r="C226" s="51" t="s">
        <v>524</v>
      </c>
      <c r="D226" s="35" t="s">
        <v>65</v>
      </c>
      <c r="E226" s="35">
        <v>800034914</v>
      </c>
      <c r="F226" s="36" t="s">
        <v>67</v>
      </c>
      <c r="G226" s="35" t="s">
        <v>48</v>
      </c>
      <c r="H226" s="51" t="s">
        <v>68</v>
      </c>
      <c r="I226" s="34" t="s">
        <v>309</v>
      </c>
      <c r="J226" s="52" t="s">
        <v>75</v>
      </c>
      <c r="K226" s="52" t="s">
        <v>60</v>
      </c>
      <c r="L226" s="51" t="s">
        <v>49</v>
      </c>
      <c r="M226" s="51" t="s">
        <v>100</v>
      </c>
      <c r="N226" s="36" t="s">
        <v>50</v>
      </c>
      <c r="O226" s="51"/>
      <c r="P226" s="51" t="s">
        <v>514</v>
      </c>
      <c r="Q226" s="37">
        <v>41760</v>
      </c>
      <c r="R226" s="37">
        <v>42094</v>
      </c>
      <c r="S226" s="35" t="s">
        <v>52</v>
      </c>
      <c r="T226" s="38">
        <v>4188390</v>
      </c>
      <c r="U226" s="39"/>
      <c r="V226" s="131"/>
      <c r="W226" s="38">
        <v>0</v>
      </c>
      <c r="X226" s="38">
        <f t="shared" si="46"/>
        <v>4188390</v>
      </c>
      <c r="Y226" s="38">
        <v>0</v>
      </c>
      <c r="Z226" s="38">
        <v>0</v>
      </c>
      <c r="AA226" s="91">
        <v>0</v>
      </c>
      <c r="AB226" s="91">
        <v>0</v>
      </c>
      <c r="AC226" s="91">
        <v>0</v>
      </c>
      <c r="AD226" s="91">
        <v>0</v>
      </c>
      <c r="AE226" s="91">
        <v>0</v>
      </c>
      <c r="AF226" s="91">
        <v>0</v>
      </c>
      <c r="AG226" s="204">
        <v>0</v>
      </c>
    </row>
    <row r="227" spans="1:33" s="103" customFormat="1" ht="90" customHeight="1">
      <c r="A227" s="102">
        <f t="shared" si="45"/>
        <v>206</v>
      </c>
      <c r="B227" s="52"/>
      <c r="C227" s="51" t="s">
        <v>525</v>
      </c>
      <c r="D227" s="35" t="s">
        <v>65</v>
      </c>
      <c r="E227" s="35">
        <v>800035061</v>
      </c>
      <c r="F227" s="36" t="s">
        <v>67</v>
      </c>
      <c r="G227" s="35" t="s">
        <v>48</v>
      </c>
      <c r="H227" s="51" t="s">
        <v>68</v>
      </c>
      <c r="I227" s="34" t="s">
        <v>425</v>
      </c>
      <c r="J227" s="52" t="s">
        <v>75</v>
      </c>
      <c r="K227" s="52" t="s">
        <v>60</v>
      </c>
      <c r="L227" s="51" t="s">
        <v>49</v>
      </c>
      <c r="M227" s="51" t="s">
        <v>100</v>
      </c>
      <c r="N227" s="36" t="s">
        <v>50</v>
      </c>
      <c r="O227" s="51"/>
      <c r="P227" s="51" t="s">
        <v>1244</v>
      </c>
      <c r="Q227" s="37">
        <v>42125</v>
      </c>
      <c r="R227" s="37">
        <v>42338</v>
      </c>
      <c r="S227" s="35" t="s">
        <v>52</v>
      </c>
      <c r="T227" s="38">
        <v>3339090</v>
      </c>
      <c r="U227" s="39"/>
      <c r="V227" s="131"/>
      <c r="W227" s="38">
        <v>0</v>
      </c>
      <c r="X227" s="38">
        <f>+T227+702991</f>
        <v>4042081</v>
      </c>
      <c r="Y227" s="38">
        <v>0</v>
      </c>
      <c r="Z227" s="38">
        <v>0</v>
      </c>
      <c r="AA227" s="91">
        <v>0</v>
      </c>
      <c r="AB227" s="91">
        <v>0</v>
      </c>
      <c r="AC227" s="91">
        <v>0</v>
      </c>
      <c r="AD227" s="91">
        <v>0</v>
      </c>
      <c r="AE227" s="91">
        <v>0</v>
      </c>
      <c r="AF227" s="91">
        <v>0</v>
      </c>
      <c r="AG227" s="204">
        <v>0</v>
      </c>
    </row>
    <row r="228" spans="1:33" s="103" customFormat="1" ht="90" customHeight="1">
      <c r="A228" s="102">
        <f t="shared" si="45"/>
        <v>207</v>
      </c>
      <c r="B228" s="52"/>
      <c r="C228" s="51" t="s">
        <v>526</v>
      </c>
      <c r="D228" s="35"/>
      <c r="E228" s="35"/>
      <c r="F228" s="36" t="s">
        <v>67</v>
      </c>
      <c r="G228" s="35" t="s">
        <v>48</v>
      </c>
      <c r="H228" s="51" t="s">
        <v>68</v>
      </c>
      <c r="I228" s="34"/>
      <c r="J228" s="52" t="s">
        <v>75</v>
      </c>
      <c r="K228" s="52" t="s">
        <v>60</v>
      </c>
      <c r="L228" s="51" t="s">
        <v>49</v>
      </c>
      <c r="M228" s="51" t="s">
        <v>100</v>
      </c>
      <c r="N228" s="36" t="s">
        <v>50</v>
      </c>
      <c r="O228" s="51"/>
      <c r="P228" s="51" t="s">
        <v>514</v>
      </c>
      <c r="Q228" s="37">
        <v>41760</v>
      </c>
      <c r="R228" s="37">
        <v>42094</v>
      </c>
      <c r="S228" s="35" t="s">
        <v>52</v>
      </c>
      <c r="T228" s="38">
        <v>411240</v>
      </c>
      <c r="U228" s="39"/>
      <c r="V228" s="131"/>
      <c r="W228" s="38">
        <v>0</v>
      </c>
      <c r="X228" s="38">
        <f t="shared" si="46"/>
        <v>411240</v>
      </c>
      <c r="Y228" s="38">
        <v>0</v>
      </c>
      <c r="Z228" s="38">
        <v>0</v>
      </c>
      <c r="AA228" s="91">
        <v>0</v>
      </c>
      <c r="AB228" s="91">
        <v>0</v>
      </c>
      <c r="AC228" s="91">
        <v>0</v>
      </c>
      <c r="AD228" s="91">
        <v>0</v>
      </c>
      <c r="AE228" s="91">
        <v>0</v>
      </c>
      <c r="AF228" s="91">
        <v>0</v>
      </c>
      <c r="AG228" s="204">
        <v>0</v>
      </c>
    </row>
    <row r="229" spans="1:33" s="103" customFormat="1" ht="90" customHeight="1">
      <c r="A229" s="102">
        <f t="shared" si="45"/>
        <v>208</v>
      </c>
      <c r="B229" s="52"/>
      <c r="C229" s="51" t="s">
        <v>527</v>
      </c>
      <c r="D229" s="35" t="s">
        <v>73</v>
      </c>
      <c r="E229" s="35">
        <v>800035100</v>
      </c>
      <c r="F229" s="36" t="s">
        <v>67</v>
      </c>
      <c r="G229" s="35" t="s">
        <v>48</v>
      </c>
      <c r="H229" s="51" t="s">
        <v>68</v>
      </c>
      <c r="I229" s="34" t="s">
        <v>199</v>
      </c>
      <c r="J229" s="52" t="s">
        <v>75</v>
      </c>
      <c r="K229" s="52" t="s">
        <v>60</v>
      </c>
      <c r="L229" s="51" t="s">
        <v>49</v>
      </c>
      <c r="M229" s="51" t="s">
        <v>100</v>
      </c>
      <c r="N229" s="36" t="s">
        <v>50</v>
      </c>
      <c r="O229" s="51"/>
      <c r="P229" s="51" t="s">
        <v>514</v>
      </c>
      <c r="Q229" s="37">
        <v>41760</v>
      </c>
      <c r="R229" s="37">
        <v>42094</v>
      </c>
      <c r="S229" s="35" t="s">
        <v>52</v>
      </c>
      <c r="T229" s="38">
        <v>438060</v>
      </c>
      <c r="U229" s="39"/>
      <c r="V229" s="131"/>
      <c r="W229" s="38">
        <v>0</v>
      </c>
      <c r="X229" s="38">
        <f t="shared" si="46"/>
        <v>438060</v>
      </c>
      <c r="Y229" s="38">
        <v>0</v>
      </c>
      <c r="Z229" s="38">
        <v>0</v>
      </c>
      <c r="AA229" s="91">
        <v>0</v>
      </c>
      <c r="AB229" s="91">
        <v>0</v>
      </c>
      <c r="AC229" s="91">
        <v>0</v>
      </c>
      <c r="AD229" s="91">
        <v>0</v>
      </c>
      <c r="AE229" s="91">
        <v>0</v>
      </c>
      <c r="AF229" s="91">
        <v>0</v>
      </c>
      <c r="AG229" s="204">
        <v>0</v>
      </c>
    </row>
    <row r="230" spans="1:33" s="103" customFormat="1" ht="90" customHeight="1">
      <c r="A230" s="102">
        <f t="shared" si="45"/>
        <v>209</v>
      </c>
      <c r="B230" s="52"/>
      <c r="C230" s="51" t="s">
        <v>528</v>
      </c>
      <c r="D230" s="35" t="s">
        <v>65</v>
      </c>
      <c r="E230" s="35">
        <v>800035062</v>
      </c>
      <c r="F230" s="36" t="s">
        <v>67</v>
      </c>
      <c r="G230" s="35" t="s">
        <v>48</v>
      </c>
      <c r="H230" s="51" t="s">
        <v>68</v>
      </c>
      <c r="I230" s="34" t="s">
        <v>425</v>
      </c>
      <c r="J230" s="52" t="s">
        <v>75</v>
      </c>
      <c r="K230" s="52" t="s">
        <v>60</v>
      </c>
      <c r="L230" s="51" t="s">
        <v>49</v>
      </c>
      <c r="M230" s="51" t="s">
        <v>100</v>
      </c>
      <c r="N230" s="36" t="s">
        <v>50</v>
      </c>
      <c r="O230" s="51"/>
      <c r="P230" s="51" t="s">
        <v>514</v>
      </c>
      <c r="Q230" s="37">
        <v>41760</v>
      </c>
      <c r="R230" s="37">
        <v>42094</v>
      </c>
      <c r="S230" s="35" t="s">
        <v>52</v>
      </c>
      <c r="T230" s="38">
        <v>1090680</v>
      </c>
      <c r="U230" s="39"/>
      <c r="V230" s="131"/>
      <c r="W230" s="38">
        <v>0</v>
      </c>
      <c r="X230" s="38">
        <f t="shared" si="46"/>
        <v>1090680</v>
      </c>
      <c r="Y230" s="38">
        <v>0</v>
      </c>
      <c r="Z230" s="38">
        <v>0</v>
      </c>
      <c r="AA230" s="91">
        <v>0</v>
      </c>
      <c r="AB230" s="91">
        <v>0</v>
      </c>
      <c r="AC230" s="91">
        <v>0</v>
      </c>
      <c r="AD230" s="91">
        <v>0</v>
      </c>
      <c r="AE230" s="91">
        <v>0</v>
      </c>
      <c r="AF230" s="91">
        <v>0</v>
      </c>
      <c r="AG230" s="204">
        <v>0</v>
      </c>
    </row>
    <row r="231" spans="1:33" s="103" customFormat="1" ht="90" customHeight="1">
      <c r="A231" s="102">
        <f t="shared" si="45"/>
        <v>210</v>
      </c>
      <c r="B231" s="52"/>
      <c r="C231" s="51" t="s">
        <v>529</v>
      </c>
      <c r="D231" s="35" t="s">
        <v>65</v>
      </c>
      <c r="E231" s="35">
        <v>800025064</v>
      </c>
      <c r="F231" s="36" t="s">
        <v>67</v>
      </c>
      <c r="G231" s="35" t="s">
        <v>48</v>
      </c>
      <c r="H231" s="51" t="s">
        <v>68</v>
      </c>
      <c r="I231" s="34" t="s">
        <v>425</v>
      </c>
      <c r="J231" s="52" t="s">
        <v>75</v>
      </c>
      <c r="K231" s="52" t="s">
        <v>60</v>
      </c>
      <c r="L231" s="51" t="s">
        <v>49</v>
      </c>
      <c r="M231" s="51" t="s">
        <v>100</v>
      </c>
      <c r="N231" s="36" t="s">
        <v>50</v>
      </c>
      <c r="O231" s="51"/>
      <c r="P231" s="51" t="s">
        <v>514</v>
      </c>
      <c r="Q231" s="37">
        <v>41760</v>
      </c>
      <c r="R231" s="37">
        <v>42094</v>
      </c>
      <c r="S231" s="35" t="s">
        <v>52</v>
      </c>
      <c r="T231" s="38">
        <v>1725420</v>
      </c>
      <c r="U231" s="39"/>
      <c r="V231" s="131"/>
      <c r="W231" s="38">
        <v>0</v>
      </c>
      <c r="X231" s="38">
        <f t="shared" si="46"/>
        <v>1725420</v>
      </c>
      <c r="Y231" s="38">
        <v>0</v>
      </c>
      <c r="Z231" s="38">
        <v>0</v>
      </c>
      <c r="AA231" s="91">
        <v>0</v>
      </c>
      <c r="AB231" s="91">
        <v>0</v>
      </c>
      <c r="AC231" s="91">
        <v>0</v>
      </c>
      <c r="AD231" s="91">
        <v>0</v>
      </c>
      <c r="AE231" s="91">
        <v>0</v>
      </c>
      <c r="AF231" s="91">
        <v>0</v>
      </c>
      <c r="AG231" s="204">
        <v>0</v>
      </c>
    </row>
    <row r="232" spans="1:33" s="103" customFormat="1" ht="90" customHeight="1">
      <c r="A232" s="102">
        <f t="shared" si="45"/>
        <v>211</v>
      </c>
      <c r="B232" s="52"/>
      <c r="C232" s="51" t="s">
        <v>530</v>
      </c>
      <c r="D232" s="35" t="s">
        <v>65</v>
      </c>
      <c r="E232" s="35">
        <v>800035102</v>
      </c>
      <c r="F232" s="36" t="s">
        <v>67</v>
      </c>
      <c r="G232" s="35" t="s">
        <v>48</v>
      </c>
      <c r="H232" s="51" t="s">
        <v>68</v>
      </c>
      <c r="I232" s="34" t="s">
        <v>199</v>
      </c>
      <c r="J232" s="52" t="s">
        <v>75</v>
      </c>
      <c r="K232" s="52" t="s">
        <v>60</v>
      </c>
      <c r="L232" s="51" t="s">
        <v>49</v>
      </c>
      <c r="M232" s="51" t="s">
        <v>100</v>
      </c>
      <c r="N232" s="36" t="s">
        <v>50</v>
      </c>
      <c r="O232" s="51"/>
      <c r="P232" s="51" t="s">
        <v>514</v>
      </c>
      <c r="Q232" s="37">
        <v>41760</v>
      </c>
      <c r="R232" s="37">
        <v>42094</v>
      </c>
      <c r="S232" s="35" t="s">
        <v>52</v>
      </c>
      <c r="T232" s="38">
        <v>1090680</v>
      </c>
      <c r="U232" s="39"/>
      <c r="V232" s="131"/>
      <c r="W232" s="38">
        <v>0</v>
      </c>
      <c r="X232" s="38">
        <f t="shared" si="46"/>
        <v>1090680</v>
      </c>
      <c r="Y232" s="38">
        <v>0</v>
      </c>
      <c r="Z232" s="38">
        <v>0</v>
      </c>
      <c r="AA232" s="91">
        <v>0</v>
      </c>
      <c r="AB232" s="91">
        <v>0</v>
      </c>
      <c r="AC232" s="91">
        <v>0</v>
      </c>
      <c r="AD232" s="91">
        <v>0</v>
      </c>
      <c r="AE232" s="91">
        <v>0</v>
      </c>
      <c r="AF232" s="91">
        <v>0</v>
      </c>
      <c r="AG232" s="204">
        <v>0</v>
      </c>
    </row>
    <row r="233" spans="1:33" s="103" customFormat="1" ht="90" customHeight="1">
      <c r="A233" s="102">
        <f t="shared" si="45"/>
        <v>212</v>
      </c>
      <c r="B233" s="52"/>
      <c r="C233" s="51" t="s">
        <v>531</v>
      </c>
      <c r="D233" s="35" t="s">
        <v>65</v>
      </c>
      <c r="E233" s="35">
        <v>800035131</v>
      </c>
      <c r="F233" s="36" t="s">
        <v>67</v>
      </c>
      <c r="G233" s="35" t="s">
        <v>48</v>
      </c>
      <c r="H233" s="51" t="s">
        <v>68</v>
      </c>
      <c r="I233" s="34" t="s">
        <v>406</v>
      </c>
      <c r="J233" s="52" t="s">
        <v>75</v>
      </c>
      <c r="K233" s="52" t="s">
        <v>60</v>
      </c>
      <c r="L233" s="51" t="s">
        <v>49</v>
      </c>
      <c r="M233" s="51" t="s">
        <v>100</v>
      </c>
      <c r="N233" s="36" t="s">
        <v>50</v>
      </c>
      <c r="O233" s="51"/>
      <c r="P233" s="51" t="s">
        <v>514</v>
      </c>
      <c r="Q233" s="37">
        <v>41760</v>
      </c>
      <c r="R233" s="37">
        <v>42094</v>
      </c>
      <c r="S233" s="35" t="s">
        <v>52</v>
      </c>
      <c r="T233" s="38">
        <v>3289920</v>
      </c>
      <c r="U233" s="39"/>
      <c r="V233" s="131"/>
      <c r="W233" s="38">
        <v>0</v>
      </c>
      <c r="X233" s="38">
        <f t="shared" si="46"/>
        <v>3289920</v>
      </c>
      <c r="Y233" s="38">
        <v>0</v>
      </c>
      <c r="Z233" s="38">
        <v>0</v>
      </c>
      <c r="AA233" s="91">
        <v>0</v>
      </c>
      <c r="AB233" s="91">
        <v>0</v>
      </c>
      <c r="AC233" s="91">
        <v>0</v>
      </c>
      <c r="AD233" s="91">
        <v>0</v>
      </c>
      <c r="AE233" s="91">
        <v>0</v>
      </c>
      <c r="AF233" s="91">
        <v>0</v>
      </c>
      <c r="AG233" s="204">
        <v>0</v>
      </c>
    </row>
    <row r="234" spans="1:33" s="103" customFormat="1" ht="90" customHeight="1">
      <c r="A234" s="102">
        <f t="shared" si="45"/>
        <v>213</v>
      </c>
      <c r="B234" s="52"/>
      <c r="C234" s="51" t="s">
        <v>532</v>
      </c>
      <c r="D234" s="35"/>
      <c r="E234" s="35"/>
      <c r="F234" s="36" t="s">
        <v>67</v>
      </c>
      <c r="G234" s="35" t="s">
        <v>48</v>
      </c>
      <c r="H234" s="51" t="s">
        <v>68</v>
      </c>
      <c r="I234" s="34"/>
      <c r="J234" s="52" t="s">
        <v>75</v>
      </c>
      <c r="K234" s="52" t="s">
        <v>60</v>
      </c>
      <c r="L234" s="51" t="s">
        <v>49</v>
      </c>
      <c r="M234" s="51" t="s">
        <v>100</v>
      </c>
      <c r="N234" s="36" t="s">
        <v>50</v>
      </c>
      <c r="O234" s="51"/>
      <c r="P234" s="51" t="s">
        <v>514</v>
      </c>
      <c r="Q234" s="37">
        <v>41760</v>
      </c>
      <c r="R234" s="37">
        <v>42094</v>
      </c>
      <c r="S234" s="35" t="s">
        <v>52</v>
      </c>
      <c r="T234" s="38">
        <v>2842920</v>
      </c>
      <c r="U234" s="39"/>
      <c r="V234" s="131"/>
      <c r="W234" s="38">
        <v>0</v>
      </c>
      <c r="X234" s="38">
        <f t="shared" si="46"/>
        <v>2842920</v>
      </c>
      <c r="Y234" s="38">
        <v>0</v>
      </c>
      <c r="Z234" s="38">
        <v>0</v>
      </c>
      <c r="AA234" s="91">
        <v>0</v>
      </c>
      <c r="AB234" s="91">
        <v>0</v>
      </c>
      <c r="AC234" s="91">
        <v>0</v>
      </c>
      <c r="AD234" s="91">
        <v>0</v>
      </c>
      <c r="AE234" s="91">
        <v>0</v>
      </c>
      <c r="AF234" s="91">
        <v>0</v>
      </c>
      <c r="AG234" s="204">
        <v>0</v>
      </c>
    </row>
    <row r="235" spans="1:33" s="103" customFormat="1" ht="90" customHeight="1">
      <c r="A235" s="102">
        <f t="shared" si="45"/>
        <v>214</v>
      </c>
      <c r="B235" s="52"/>
      <c r="C235" s="51" t="s">
        <v>533</v>
      </c>
      <c r="D235" s="35" t="s">
        <v>65</v>
      </c>
      <c r="E235" s="35">
        <v>800035105</v>
      </c>
      <c r="F235" s="36" t="s">
        <v>67</v>
      </c>
      <c r="G235" s="35" t="s">
        <v>48</v>
      </c>
      <c r="H235" s="51" t="s">
        <v>68</v>
      </c>
      <c r="I235" s="34" t="s">
        <v>199</v>
      </c>
      <c r="J235" s="52" t="s">
        <v>75</v>
      </c>
      <c r="K235" s="52" t="s">
        <v>60</v>
      </c>
      <c r="L235" s="51" t="s">
        <v>49</v>
      </c>
      <c r="M235" s="51" t="s">
        <v>100</v>
      </c>
      <c r="N235" s="36" t="s">
        <v>50</v>
      </c>
      <c r="O235" s="51"/>
      <c r="P235" s="51" t="s">
        <v>514</v>
      </c>
      <c r="Q235" s="37">
        <v>41760</v>
      </c>
      <c r="R235" s="37">
        <v>42094</v>
      </c>
      <c r="S235" s="35" t="s">
        <v>52</v>
      </c>
      <c r="T235" s="38">
        <v>1090680</v>
      </c>
      <c r="U235" s="39"/>
      <c r="V235" s="131"/>
      <c r="W235" s="38">
        <v>0</v>
      </c>
      <c r="X235" s="38">
        <f t="shared" si="46"/>
        <v>1090680</v>
      </c>
      <c r="Y235" s="38">
        <v>0</v>
      </c>
      <c r="Z235" s="38">
        <v>0</v>
      </c>
      <c r="AA235" s="91">
        <v>0</v>
      </c>
      <c r="AB235" s="91">
        <v>0</v>
      </c>
      <c r="AC235" s="91">
        <v>0</v>
      </c>
      <c r="AD235" s="91">
        <v>0</v>
      </c>
      <c r="AE235" s="91">
        <v>0</v>
      </c>
      <c r="AF235" s="91">
        <v>0</v>
      </c>
      <c r="AG235" s="204">
        <v>0</v>
      </c>
    </row>
    <row r="236" spans="1:33" s="103" customFormat="1" ht="90" customHeight="1">
      <c r="A236" s="102">
        <f t="shared" si="45"/>
        <v>215</v>
      </c>
      <c r="B236" s="52"/>
      <c r="C236" s="51" t="s">
        <v>534</v>
      </c>
      <c r="D236" s="35" t="s">
        <v>65</v>
      </c>
      <c r="E236" s="35">
        <v>800035109</v>
      </c>
      <c r="F236" s="36" t="s">
        <v>67</v>
      </c>
      <c r="G236" s="35" t="s">
        <v>48</v>
      </c>
      <c r="H236" s="51" t="s">
        <v>68</v>
      </c>
      <c r="I236" s="34" t="s">
        <v>199</v>
      </c>
      <c r="J236" s="52" t="s">
        <v>75</v>
      </c>
      <c r="K236" s="52" t="s">
        <v>60</v>
      </c>
      <c r="L236" s="51" t="s">
        <v>49</v>
      </c>
      <c r="M236" s="51" t="s">
        <v>100</v>
      </c>
      <c r="N236" s="36" t="s">
        <v>50</v>
      </c>
      <c r="O236" s="51"/>
      <c r="P236" s="51" t="s">
        <v>514</v>
      </c>
      <c r="Q236" s="37">
        <v>41760</v>
      </c>
      <c r="R236" s="37">
        <v>42094</v>
      </c>
      <c r="S236" s="35" t="s">
        <v>52</v>
      </c>
      <c r="T236" s="38">
        <v>1090680</v>
      </c>
      <c r="U236" s="39"/>
      <c r="V236" s="131"/>
      <c r="W236" s="38">
        <v>0</v>
      </c>
      <c r="X236" s="38">
        <f t="shared" si="46"/>
        <v>1090680</v>
      </c>
      <c r="Y236" s="38">
        <v>0</v>
      </c>
      <c r="Z236" s="38">
        <v>0</v>
      </c>
      <c r="AA236" s="91">
        <v>0</v>
      </c>
      <c r="AB236" s="91">
        <v>0</v>
      </c>
      <c r="AC236" s="91">
        <v>0</v>
      </c>
      <c r="AD236" s="91">
        <v>0</v>
      </c>
      <c r="AE236" s="91">
        <v>0</v>
      </c>
      <c r="AF236" s="91">
        <v>0</v>
      </c>
      <c r="AG236" s="204">
        <v>0</v>
      </c>
    </row>
    <row r="237" spans="1:33" s="103" customFormat="1" ht="90" customHeight="1">
      <c r="A237" s="102">
        <f t="shared" si="45"/>
        <v>216</v>
      </c>
      <c r="B237" s="52"/>
      <c r="C237" s="51" t="s">
        <v>535</v>
      </c>
      <c r="D237" s="35" t="s">
        <v>65</v>
      </c>
      <c r="E237" s="35">
        <v>800034920</v>
      </c>
      <c r="F237" s="36" t="s">
        <v>67</v>
      </c>
      <c r="G237" s="35" t="s">
        <v>48</v>
      </c>
      <c r="H237" s="51" t="s">
        <v>68</v>
      </c>
      <c r="I237" s="34" t="s">
        <v>309</v>
      </c>
      <c r="J237" s="52" t="s">
        <v>75</v>
      </c>
      <c r="K237" s="52" t="s">
        <v>60</v>
      </c>
      <c r="L237" s="51" t="s">
        <v>49</v>
      </c>
      <c r="M237" s="51" t="s">
        <v>100</v>
      </c>
      <c r="N237" s="36" t="s">
        <v>50</v>
      </c>
      <c r="O237" s="51"/>
      <c r="P237" s="51" t="s">
        <v>514</v>
      </c>
      <c r="Q237" s="37">
        <v>41760</v>
      </c>
      <c r="R237" s="37">
        <v>42094</v>
      </c>
      <c r="S237" s="35" t="s">
        <v>52</v>
      </c>
      <c r="T237" s="38">
        <v>273027.59999999998</v>
      </c>
      <c r="U237" s="39"/>
      <c r="V237" s="131"/>
      <c r="W237" s="38">
        <v>0</v>
      </c>
      <c r="X237" s="38">
        <f t="shared" si="46"/>
        <v>273027.59999999998</v>
      </c>
      <c r="Y237" s="38">
        <v>0</v>
      </c>
      <c r="Z237" s="38">
        <v>0</v>
      </c>
      <c r="AA237" s="91">
        <v>0</v>
      </c>
      <c r="AB237" s="91">
        <v>0</v>
      </c>
      <c r="AC237" s="91">
        <v>0</v>
      </c>
      <c r="AD237" s="91">
        <v>0</v>
      </c>
      <c r="AE237" s="91">
        <v>0</v>
      </c>
      <c r="AF237" s="91">
        <v>0</v>
      </c>
      <c r="AG237" s="204">
        <v>0</v>
      </c>
    </row>
    <row r="238" spans="1:33" s="103" customFormat="1" ht="90" customHeight="1">
      <c r="A238" s="102">
        <f t="shared" si="45"/>
        <v>217</v>
      </c>
      <c r="B238" s="52"/>
      <c r="C238" s="51" t="s">
        <v>536</v>
      </c>
      <c r="D238" s="35" t="s">
        <v>65</v>
      </c>
      <c r="E238" s="35">
        <v>800035497</v>
      </c>
      <c r="F238" s="36" t="s">
        <v>67</v>
      </c>
      <c r="G238" s="35" t="s">
        <v>48</v>
      </c>
      <c r="H238" s="51" t="s">
        <v>68</v>
      </c>
      <c r="I238" s="34" t="s">
        <v>389</v>
      </c>
      <c r="J238" s="52" t="s">
        <v>75</v>
      </c>
      <c r="K238" s="52" t="s">
        <v>60</v>
      </c>
      <c r="L238" s="51" t="s">
        <v>49</v>
      </c>
      <c r="M238" s="51" t="s">
        <v>100</v>
      </c>
      <c r="N238" s="36" t="s">
        <v>50</v>
      </c>
      <c r="O238" s="51"/>
      <c r="P238" s="51" t="s">
        <v>514</v>
      </c>
      <c r="Q238" s="37">
        <v>41760</v>
      </c>
      <c r="R238" s="37">
        <v>42094</v>
      </c>
      <c r="S238" s="35" t="s">
        <v>52</v>
      </c>
      <c r="T238" s="38">
        <v>1090680</v>
      </c>
      <c r="U238" s="39"/>
      <c r="V238" s="131"/>
      <c r="W238" s="38">
        <v>0</v>
      </c>
      <c r="X238" s="38">
        <f t="shared" si="46"/>
        <v>1090680</v>
      </c>
      <c r="Y238" s="38">
        <v>0</v>
      </c>
      <c r="Z238" s="38">
        <v>0</v>
      </c>
      <c r="AA238" s="91">
        <v>0</v>
      </c>
      <c r="AB238" s="91">
        <v>0</v>
      </c>
      <c r="AC238" s="91">
        <v>0</v>
      </c>
      <c r="AD238" s="91">
        <v>0</v>
      </c>
      <c r="AE238" s="91">
        <v>0</v>
      </c>
      <c r="AF238" s="91">
        <v>0</v>
      </c>
      <c r="AG238" s="204">
        <v>0</v>
      </c>
    </row>
    <row r="239" spans="1:33" s="103" customFormat="1" ht="90" customHeight="1">
      <c r="A239" s="102">
        <f t="shared" si="45"/>
        <v>218</v>
      </c>
      <c r="B239" s="52"/>
      <c r="C239" s="51" t="s">
        <v>537</v>
      </c>
      <c r="D239" s="35" t="s">
        <v>65</v>
      </c>
      <c r="E239" s="35">
        <v>800025141</v>
      </c>
      <c r="F239" s="36" t="s">
        <v>67</v>
      </c>
      <c r="G239" s="35" t="s">
        <v>48</v>
      </c>
      <c r="H239" s="51" t="s">
        <v>68</v>
      </c>
      <c r="I239" s="34" t="s">
        <v>406</v>
      </c>
      <c r="J239" s="52" t="s">
        <v>75</v>
      </c>
      <c r="K239" s="52" t="s">
        <v>60</v>
      </c>
      <c r="L239" s="51" t="s">
        <v>49</v>
      </c>
      <c r="M239" s="51" t="s">
        <v>100</v>
      </c>
      <c r="N239" s="36" t="s">
        <v>50</v>
      </c>
      <c r="O239" s="51"/>
      <c r="P239" s="51" t="s">
        <v>514</v>
      </c>
      <c r="Q239" s="37">
        <v>41760</v>
      </c>
      <c r="R239" s="37">
        <v>42094</v>
      </c>
      <c r="S239" s="35" t="s">
        <v>52</v>
      </c>
      <c r="T239" s="38">
        <v>2552370</v>
      </c>
      <c r="U239" s="39"/>
      <c r="V239" s="131"/>
      <c r="W239" s="38">
        <v>0</v>
      </c>
      <c r="X239" s="38">
        <f t="shared" si="46"/>
        <v>2552370</v>
      </c>
      <c r="Y239" s="38">
        <v>0</v>
      </c>
      <c r="Z239" s="38">
        <v>0</v>
      </c>
      <c r="AA239" s="91">
        <v>0</v>
      </c>
      <c r="AB239" s="91">
        <v>0</v>
      </c>
      <c r="AC239" s="91">
        <v>0</v>
      </c>
      <c r="AD239" s="91">
        <v>0</v>
      </c>
      <c r="AE239" s="91">
        <v>0</v>
      </c>
      <c r="AF239" s="91">
        <v>0</v>
      </c>
      <c r="AG239" s="204">
        <v>0</v>
      </c>
    </row>
    <row r="240" spans="1:33" s="103" customFormat="1" ht="90" customHeight="1">
      <c r="A240" s="102">
        <f t="shared" si="45"/>
        <v>219</v>
      </c>
      <c r="B240" s="52"/>
      <c r="C240" s="51" t="s">
        <v>538</v>
      </c>
      <c r="D240" s="35" t="s">
        <v>65</v>
      </c>
      <c r="E240" s="35">
        <v>800024928</v>
      </c>
      <c r="F240" s="36" t="s">
        <v>67</v>
      </c>
      <c r="G240" s="35" t="s">
        <v>48</v>
      </c>
      <c r="H240" s="51" t="s">
        <v>68</v>
      </c>
      <c r="I240" s="34" t="s">
        <v>309</v>
      </c>
      <c r="J240" s="52" t="s">
        <v>75</v>
      </c>
      <c r="K240" s="52" t="s">
        <v>60</v>
      </c>
      <c r="L240" s="51" t="s">
        <v>49</v>
      </c>
      <c r="M240" s="51" t="s">
        <v>100</v>
      </c>
      <c r="N240" s="36" t="s">
        <v>50</v>
      </c>
      <c r="O240" s="51"/>
      <c r="P240" s="51" t="s">
        <v>514</v>
      </c>
      <c r="Q240" s="37">
        <v>41760</v>
      </c>
      <c r="R240" s="37">
        <v>42094</v>
      </c>
      <c r="S240" s="35" t="s">
        <v>52</v>
      </c>
      <c r="T240" s="38">
        <v>3303330</v>
      </c>
      <c r="U240" s="39"/>
      <c r="V240" s="131"/>
      <c r="W240" s="38">
        <v>0</v>
      </c>
      <c r="X240" s="38">
        <f t="shared" si="46"/>
        <v>3303330</v>
      </c>
      <c r="Y240" s="38">
        <v>0</v>
      </c>
      <c r="Z240" s="38">
        <v>0</v>
      </c>
      <c r="AA240" s="91">
        <v>0</v>
      </c>
      <c r="AB240" s="91">
        <v>0</v>
      </c>
      <c r="AC240" s="91">
        <v>0</v>
      </c>
      <c r="AD240" s="91">
        <v>0</v>
      </c>
      <c r="AE240" s="91">
        <v>0</v>
      </c>
      <c r="AF240" s="91">
        <v>0</v>
      </c>
      <c r="AG240" s="204">
        <v>0</v>
      </c>
    </row>
    <row r="241" spans="1:33" s="103" customFormat="1" ht="90" customHeight="1">
      <c r="A241" s="102">
        <f t="shared" si="45"/>
        <v>220</v>
      </c>
      <c r="B241" s="52"/>
      <c r="C241" s="51" t="s">
        <v>539</v>
      </c>
      <c r="D241" s="35" t="s">
        <v>65</v>
      </c>
      <c r="E241" s="35">
        <v>800034931</v>
      </c>
      <c r="F241" s="36" t="s">
        <v>67</v>
      </c>
      <c r="G241" s="35" t="s">
        <v>48</v>
      </c>
      <c r="H241" s="51" t="s">
        <v>68</v>
      </c>
      <c r="I241" s="34" t="s">
        <v>309</v>
      </c>
      <c r="J241" s="52" t="s">
        <v>75</v>
      </c>
      <c r="K241" s="52" t="s">
        <v>60</v>
      </c>
      <c r="L241" s="51" t="s">
        <v>49</v>
      </c>
      <c r="M241" s="51" t="s">
        <v>100</v>
      </c>
      <c r="N241" s="36" t="s">
        <v>50</v>
      </c>
      <c r="O241" s="51"/>
      <c r="P241" s="51" t="s">
        <v>514</v>
      </c>
      <c r="Q241" s="37">
        <v>41760</v>
      </c>
      <c r="R241" s="37">
        <v>42094</v>
      </c>
      <c r="S241" s="35" t="s">
        <v>52</v>
      </c>
      <c r="T241" s="38">
        <v>4188390</v>
      </c>
      <c r="U241" s="39"/>
      <c r="V241" s="131"/>
      <c r="W241" s="38">
        <v>0</v>
      </c>
      <c r="X241" s="38">
        <f t="shared" si="46"/>
        <v>4188390</v>
      </c>
      <c r="Y241" s="38">
        <v>0</v>
      </c>
      <c r="Z241" s="38">
        <v>0</v>
      </c>
      <c r="AA241" s="91">
        <v>0</v>
      </c>
      <c r="AB241" s="91">
        <v>0</v>
      </c>
      <c r="AC241" s="91">
        <v>0</v>
      </c>
      <c r="AD241" s="91">
        <v>0</v>
      </c>
      <c r="AE241" s="91">
        <v>0</v>
      </c>
      <c r="AF241" s="91">
        <v>0</v>
      </c>
      <c r="AG241" s="204">
        <v>0</v>
      </c>
    </row>
    <row r="242" spans="1:33" s="103" customFormat="1" ht="90" customHeight="1">
      <c r="A242" s="102">
        <f t="shared" si="45"/>
        <v>221</v>
      </c>
      <c r="B242" s="52"/>
      <c r="C242" s="51" t="s">
        <v>540</v>
      </c>
      <c r="D242" s="35" t="s">
        <v>65</v>
      </c>
      <c r="E242" s="35">
        <v>800022806</v>
      </c>
      <c r="F242" s="36" t="s">
        <v>67</v>
      </c>
      <c r="G242" s="35" t="s">
        <v>48</v>
      </c>
      <c r="H242" s="51" t="s">
        <v>68</v>
      </c>
      <c r="I242" s="34" t="s">
        <v>219</v>
      </c>
      <c r="J242" s="52" t="s">
        <v>84</v>
      </c>
      <c r="K242" s="52"/>
      <c r="L242" s="51" t="s">
        <v>49</v>
      </c>
      <c r="M242" s="51" t="s">
        <v>100</v>
      </c>
      <c r="N242" s="36" t="s">
        <v>50</v>
      </c>
      <c r="O242" s="51"/>
      <c r="P242" s="51" t="s">
        <v>514</v>
      </c>
      <c r="Q242" s="37">
        <v>41760</v>
      </c>
      <c r="R242" s="37">
        <v>42094</v>
      </c>
      <c r="S242" s="35" t="s">
        <v>52</v>
      </c>
      <c r="T242" s="38">
        <v>1070500</v>
      </c>
      <c r="U242" s="39"/>
      <c r="V242" s="131"/>
      <c r="W242" s="38">
        <v>0</v>
      </c>
      <c r="X242" s="38">
        <f t="shared" si="46"/>
        <v>1070500</v>
      </c>
      <c r="Y242" s="38">
        <v>0</v>
      </c>
      <c r="Z242" s="38">
        <v>0</v>
      </c>
      <c r="AA242" s="91">
        <v>0</v>
      </c>
      <c r="AB242" s="91">
        <v>0</v>
      </c>
      <c r="AC242" s="91">
        <v>0</v>
      </c>
      <c r="AD242" s="91">
        <v>0</v>
      </c>
      <c r="AE242" s="91">
        <v>0</v>
      </c>
      <c r="AF242" s="91">
        <v>0</v>
      </c>
      <c r="AG242" s="204">
        <v>0</v>
      </c>
    </row>
    <row r="243" spans="1:33" s="103" customFormat="1" ht="90" customHeight="1">
      <c r="A243" s="102">
        <f t="shared" si="45"/>
        <v>222</v>
      </c>
      <c r="B243" s="52"/>
      <c r="C243" s="51" t="s">
        <v>541</v>
      </c>
      <c r="D243" s="35" t="s">
        <v>73</v>
      </c>
      <c r="E243" s="35">
        <v>800002766</v>
      </c>
      <c r="F243" s="36" t="s">
        <v>67</v>
      </c>
      <c r="G243" s="35" t="s">
        <v>48</v>
      </c>
      <c r="H243" s="51" t="s">
        <v>57</v>
      </c>
      <c r="I243" s="34" t="s">
        <v>450</v>
      </c>
      <c r="J243" s="52" t="s">
        <v>188</v>
      </c>
      <c r="K243" s="52" t="s">
        <v>60</v>
      </c>
      <c r="L243" s="51" t="s">
        <v>61</v>
      </c>
      <c r="M243" s="51" t="s">
        <v>117</v>
      </c>
      <c r="N243" s="36" t="s">
        <v>50</v>
      </c>
      <c r="O243" s="51"/>
      <c r="P243" s="51" t="s">
        <v>712</v>
      </c>
      <c r="Q243" s="46">
        <v>42095</v>
      </c>
      <c r="R243" s="46">
        <v>42643</v>
      </c>
      <c r="S243" s="35" t="s">
        <v>96</v>
      </c>
      <c r="T243" s="38">
        <f>+(9*((1141850+1714473+2097122)/9)+1247367+1293526+1350713+4298671+300000+929210+350000+6*1022001/14+1350000+1050000+150000)*1.23*1.07</f>
        <v>23309358.169242855</v>
      </c>
      <c r="U243" s="39"/>
      <c r="V243" s="131"/>
      <c r="W243" s="38">
        <v>0</v>
      </c>
      <c r="X243" s="38">
        <v>0</v>
      </c>
      <c r="Y243" s="38">
        <v>0</v>
      </c>
      <c r="Z243" s="38">
        <f>+T243*0.235*0.3</f>
        <v>1643309.7509316213</v>
      </c>
      <c r="AA243" s="91">
        <f>+T243-Z243-AB243</f>
        <v>20267486.928156663</v>
      </c>
      <c r="AB243" s="91">
        <f>+T243*0.06</f>
        <v>1398561.4901545714</v>
      </c>
      <c r="AC243" s="91">
        <v>0</v>
      </c>
      <c r="AD243" s="91">
        <f>+T243*0.01</f>
        <v>233093.58169242856</v>
      </c>
      <c r="AE243" s="91">
        <v>0</v>
      </c>
      <c r="AF243" s="91">
        <f>+AD243*1.15</f>
        <v>268057.61894629285</v>
      </c>
      <c r="AG243" s="204">
        <v>0</v>
      </c>
    </row>
    <row r="244" spans="1:33" s="103" customFormat="1" ht="90" customHeight="1">
      <c r="A244" s="102">
        <f t="shared" si="45"/>
        <v>223</v>
      </c>
      <c r="B244" s="52"/>
      <c r="C244" s="51" t="s">
        <v>542</v>
      </c>
      <c r="D244" s="35" t="s">
        <v>65</v>
      </c>
      <c r="E244" s="35" t="s">
        <v>66</v>
      </c>
      <c r="F244" s="36" t="s">
        <v>67</v>
      </c>
      <c r="G244" s="35" t="s">
        <v>48</v>
      </c>
      <c r="H244" s="51" t="s">
        <v>74</v>
      </c>
      <c r="I244" s="34" t="s">
        <v>309</v>
      </c>
      <c r="J244" s="52" t="s">
        <v>75</v>
      </c>
      <c r="K244" s="52" t="s">
        <v>60</v>
      </c>
      <c r="L244" s="51" t="s">
        <v>49</v>
      </c>
      <c r="M244" s="51" t="s">
        <v>2</v>
      </c>
      <c r="N244" s="36" t="s">
        <v>50</v>
      </c>
      <c r="O244" s="51"/>
      <c r="P244" s="51" t="s">
        <v>543</v>
      </c>
      <c r="Q244" s="37">
        <v>42095</v>
      </c>
      <c r="R244" s="37">
        <v>42643</v>
      </c>
      <c r="S244" s="35" t="s">
        <v>96</v>
      </c>
      <c r="T244" s="38">
        <f>736800*4+3000000+1212500*6+1029250*2+2900000+1127500+40000*12+1350000+1500000+600000+350000+522500+1369000</f>
        <v>25479700</v>
      </c>
      <c r="U244" s="39"/>
      <c r="V244" s="131"/>
      <c r="W244" s="38">
        <v>0</v>
      </c>
      <c r="X244" s="38">
        <v>0</v>
      </c>
      <c r="Y244" s="38">
        <v>0</v>
      </c>
      <c r="Z244" s="38">
        <v>0</v>
      </c>
      <c r="AA244" s="91">
        <f>+T244*0.235*0.3</f>
        <v>1796318.8499999999</v>
      </c>
      <c r="AB244" s="91">
        <f>+T244-AA244-AC244</f>
        <v>22154599.149999999</v>
      </c>
      <c r="AC244" s="91">
        <f>+T244*0.06</f>
        <v>1528782</v>
      </c>
      <c r="AD244" s="91">
        <v>0</v>
      </c>
      <c r="AE244" s="91">
        <f>+T244*0.01</f>
        <v>254797</v>
      </c>
      <c r="AF244" s="91">
        <v>0</v>
      </c>
      <c r="AG244" s="204">
        <f>+AE244*1.15</f>
        <v>293016.55</v>
      </c>
    </row>
    <row r="245" spans="1:33" s="103" customFormat="1" ht="90" customHeight="1">
      <c r="A245" s="102">
        <f t="shared" si="45"/>
        <v>224</v>
      </c>
      <c r="B245" s="52"/>
      <c r="C245" s="51" t="s">
        <v>544</v>
      </c>
      <c r="D245" s="35" t="s">
        <v>65</v>
      </c>
      <c r="E245" s="35">
        <v>800003277</v>
      </c>
      <c r="F245" s="36" t="s">
        <v>67</v>
      </c>
      <c r="G245" s="35" t="s">
        <v>48</v>
      </c>
      <c r="H245" s="51" t="s">
        <v>545</v>
      </c>
      <c r="I245" s="34" t="s">
        <v>293</v>
      </c>
      <c r="J245" s="52" t="s">
        <v>169</v>
      </c>
      <c r="K245" s="52" t="s">
        <v>60</v>
      </c>
      <c r="L245" s="51" t="s">
        <v>49</v>
      </c>
      <c r="M245" s="51" t="s">
        <v>100</v>
      </c>
      <c r="N245" s="36" t="s">
        <v>50</v>
      </c>
      <c r="O245" s="51"/>
      <c r="P245" s="51" t="s">
        <v>1076</v>
      </c>
      <c r="Q245" s="37">
        <v>42095</v>
      </c>
      <c r="R245" s="37">
        <v>42643</v>
      </c>
      <c r="S245" s="35" t="s">
        <v>52</v>
      </c>
      <c r="T245" s="38">
        <f>+(1823640+16*((1141850+1714473+2097122)/9)+3658606+1293526+1350713+18*(1022001/14)+1350000+600000+350000+929210+1050000+150000)*1.23*1.07</f>
        <v>29843647.662961908</v>
      </c>
      <c r="U245" s="39"/>
      <c r="V245" s="131"/>
      <c r="W245" s="38">
        <v>0</v>
      </c>
      <c r="X245" s="38">
        <f>+T245-Y245</f>
        <v>24471791.083628766</v>
      </c>
      <c r="Y245" s="132">
        <f>+T245*0.18</f>
        <v>5371856.5793331433</v>
      </c>
      <c r="Z245" s="38">
        <v>0</v>
      </c>
      <c r="AA245" s="91">
        <f>+T245*0.01</f>
        <v>298436.47662961908</v>
      </c>
      <c r="AB245" s="91">
        <v>0</v>
      </c>
      <c r="AC245" s="91">
        <f>+AA245*1.15</f>
        <v>343201.94812406192</v>
      </c>
      <c r="AD245" s="91">
        <v>0</v>
      </c>
      <c r="AE245" s="91">
        <f>+AC245*1.15</f>
        <v>394682.24034267117</v>
      </c>
      <c r="AF245" s="91">
        <v>0</v>
      </c>
      <c r="AG245" s="204">
        <f>+AE245*1.15</f>
        <v>453884.5763940718</v>
      </c>
    </row>
    <row r="246" spans="1:33" s="103" customFormat="1" ht="90" customHeight="1">
      <c r="A246" s="102">
        <f t="shared" si="45"/>
        <v>225</v>
      </c>
      <c r="B246" s="52"/>
      <c r="C246" s="51" t="s">
        <v>546</v>
      </c>
      <c r="D246" s="35" t="s">
        <v>65</v>
      </c>
      <c r="E246" s="35">
        <v>800002980</v>
      </c>
      <c r="F246" s="36" t="s">
        <v>67</v>
      </c>
      <c r="G246" s="35" t="s">
        <v>48</v>
      </c>
      <c r="H246" s="51" t="s">
        <v>545</v>
      </c>
      <c r="I246" s="34" t="s">
        <v>547</v>
      </c>
      <c r="J246" s="52" t="s">
        <v>548</v>
      </c>
      <c r="K246" s="52"/>
      <c r="L246" s="51" t="s">
        <v>49</v>
      </c>
      <c r="M246" s="51" t="s">
        <v>100</v>
      </c>
      <c r="N246" s="36" t="s">
        <v>50</v>
      </c>
      <c r="O246" s="51"/>
      <c r="P246" s="51" t="s">
        <v>1077</v>
      </c>
      <c r="Q246" s="37">
        <v>42095</v>
      </c>
      <c r="R246" s="37">
        <v>42643</v>
      </c>
      <c r="S246" s="35" t="s">
        <v>52</v>
      </c>
      <c r="T246" s="38">
        <f>+(1823640+24*((1141850+1714473+2097122)/9)+3658606+1293526+1350713+36*(1022001/14)+1350000+600000+350000+4298671+929210+1050000+150000)*1.23*1.07</f>
        <v>43025355.848857142</v>
      </c>
      <c r="U246" s="39"/>
      <c r="V246" s="131"/>
      <c r="W246" s="38">
        <v>0</v>
      </c>
      <c r="X246" s="38">
        <f>+T246-Y246</f>
        <v>36571552.471528575</v>
      </c>
      <c r="Y246" s="132">
        <f>+T246*0.15</f>
        <v>6453803.3773285709</v>
      </c>
      <c r="Z246" s="38">
        <v>0</v>
      </c>
      <c r="AA246" s="91">
        <f>+T246*0.01</f>
        <v>430253.55848857143</v>
      </c>
      <c r="AB246" s="91">
        <v>0</v>
      </c>
      <c r="AC246" s="91">
        <f>+AA246*1.15</f>
        <v>494791.59226185712</v>
      </c>
      <c r="AD246" s="91">
        <v>0</v>
      </c>
      <c r="AE246" s="91">
        <f>+AC246*1.15</f>
        <v>569010.3311011357</v>
      </c>
      <c r="AF246" s="91">
        <v>0</v>
      </c>
      <c r="AG246" s="204">
        <f>+AE246*1.15</f>
        <v>654361.88076630596</v>
      </c>
    </row>
    <row r="247" spans="1:33" s="103" customFormat="1" ht="90" customHeight="1">
      <c r="A247" s="102">
        <f t="shared" si="45"/>
        <v>226</v>
      </c>
      <c r="B247" s="52"/>
      <c r="C247" s="51" t="s">
        <v>549</v>
      </c>
      <c r="D247" s="35" t="s">
        <v>65</v>
      </c>
      <c r="E247" s="35">
        <v>80009514</v>
      </c>
      <c r="F247" s="36" t="s">
        <v>67</v>
      </c>
      <c r="G247" s="35" t="s">
        <v>48</v>
      </c>
      <c r="H247" s="51" t="s">
        <v>545</v>
      </c>
      <c r="I247" s="34" t="s">
        <v>547</v>
      </c>
      <c r="J247" s="52" t="s">
        <v>550</v>
      </c>
      <c r="K247" s="52"/>
      <c r="L247" s="51" t="s">
        <v>49</v>
      </c>
      <c r="M247" s="51" t="s">
        <v>100</v>
      </c>
      <c r="N247" s="36" t="s">
        <v>50</v>
      </c>
      <c r="O247" s="51"/>
      <c r="P247" s="51" t="s">
        <v>551</v>
      </c>
      <c r="Q247" s="37">
        <v>42095</v>
      </c>
      <c r="R247" s="37">
        <v>42643</v>
      </c>
      <c r="S247" s="35" t="s">
        <v>96</v>
      </c>
      <c r="T247" s="38">
        <f>+(14*((1141850+1714473+2097122)/9)+14*25000+3658606+1293526+1350713+18*(1022001/14)+1350000+600000+350000+4298671+929210+1050000+150000)*1.23*1.07</f>
        <v>32112953.414395235</v>
      </c>
      <c r="U247" s="39"/>
      <c r="V247" s="131"/>
      <c r="W247" s="38">
        <v>0</v>
      </c>
      <c r="X247" s="38">
        <v>0</v>
      </c>
      <c r="Y247" s="38">
        <v>0</v>
      </c>
      <c r="Z247" s="38">
        <f>+T247*0.235*0.3</f>
        <v>2263963.215714864</v>
      </c>
      <c r="AA247" s="91">
        <f>+T247-Z247-AB247</f>
        <v>27922212.993816659</v>
      </c>
      <c r="AB247" s="91">
        <f>+T247*0.06</f>
        <v>1926777.2048637141</v>
      </c>
      <c r="AC247" s="91">
        <v>0</v>
      </c>
      <c r="AD247" s="91">
        <f>+T247*0.01</f>
        <v>321129.53414395236</v>
      </c>
      <c r="AE247" s="91">
        <v>0</v>
      </c>
      <c r="AF247" s="91">
        <f>+AD247*1.15</f>
        <v>369298.96426554519</v>
      </c>
      <c r="AG247" s="204">
        <v>0</v>
      </c>
    </row>
    <row r="248" spans="1:33" s="103" customFormat="1" ht="90" customHeight="1">
      <c r="A248" s="102">
        <f t="shared" si="45"/>
        <v>227</v>
      </c>
      <c r="B248" s="52"/>
      <c r="C248" s="51" t="s">
        <v>555</v>
      </c>
      <c r="D248" s="35" t="s">
        <v>73</v>
      </c>
      <c r="E248" s="35">
        <v>800014969</v>
      </c>
      <c r="F248" s="36" t="s">
        <v>67</v>
      </c>
      <c r="G248" s="35" t="s">
        <v>48</v>
      </c>
      <c r="H248" s="51" t="s">
        <v>545</v>
      </c>
      <c r="I248" s="34" t="s">
        <v>556</v>
      </c>
      <c r="J248" s="52" t="s">
        <v>557</v>
      </c>
      <c r="K248" s="52" t="s">
        <v>60</v>
      </c>
      <c r="L248" s="51" t="s">
        <v>49</v>
      </c>
      <c r="M248" s="51" t="s">
        <v>100</v>
      </c>
      <c r="N248" s="36" t="s">
        <v>50</v>
      </c>
      <c r="O248" s="51"/>
      <c r="P248" s="51" t="s">
        <v>558</v>
      </c>
      <c r="Q248" s="37">
        <v>42095</v>
      </c>
      <c r="R248" s="37">
        <v>42643</v>
      </c>
      <c r="S248" s="35" t="s">
        <v>96</v>
      </c>
      <c r="T248" s="38">
        <f>+(12*((1141850+1714473+2097122)/9)+15*25000+3658606+1293526+1350713+18*(1022001/14)+1350000+600000+350000+4298671+929210+1050000+150000)*1.23*1.07</f>
        <v>30697138.36672857</v>
      </c>
      <c r="U248" s="39"/>
      <c r="V248" s="131"/>
      <c r="W248" s="38">
        <v>0</v>
      </c>
      <c r="X248" s="38">
        <v>0</v>
      </c>
      <c r="Y248" s="38">
        <v>0</v>
      </c>
      <c r="Z248" s="38">
        <f>+T248*0.235*0.3</f>
        <v>2164148.2548543639</v>
      </c>
      <c r="AA248" s="91">
        <f>+T248-Z248-AB248</f>
        <v>26691161.809870493</v>
      </c>
      <c r="AB248" s="91">
        <f>+T248*0.06</f>
        <v>1841828.3020037143</v>
      </c>
      <c r="AC248" s="91">
        <v>0</v>
      </c>
      <c r="AD248" s="91">
        <f>+T248*0.01</f>
        <v>306971.38366728573</v>
      </c>
      <c r="AE248" s="91">
        <v>0</v>
      </c>
      <c r="AF248" s="91">
        <f>+AD248*1.15</f>
        <v>353017.09121737856</v>
      </c>
      <c r="AG248" s="204">
        <v>0</v>
      </c>
    </row>
    <row r="249" spans="1:33" s="103" customFormat="1" ht="90" customHeight="1">
      <c r="A249" s="102">
        <f t="shared" si="45"/>
        <v>228</v>
      </c>
      <c r="B249" s="52"/>
      <c r="C249" s="51" t="s">
        <v>559</v>
      </c>
      <c r="D249" s="35" t="s">
        <v>73</v>
      </c>
      <c r="E249" s="35">
        <v>800025478</v>
      </c>
      <c r="F249" s="36" t="s">
        <v>67</v>
      </c>
      <c r="G249" s="35" t="s">
        <v>48</v>
      </c>
      <c r="H249" s="51" t="s">
        <v>545</v>
      </c>
      <c r="I249" s="34" t="s">
        <v>560</v>
      </c>
      <c r="J249" s="52" t="s">
        <v>550</v>
      </c>
      <c r="K249" s="52"/>
      <c r="L249" s="51" t="s">
        <v>49</v>
      </c>
      <c r="M249" s="51" t="s">
        <v>100</v>
      </c>
      <c r="N249" s="36" t="s">
        <v>50</v>
      </c>
      <c r="O249" s="51"/>
      <c r="P249" s="51" t="s">
        <v>561</v>
      </c>
      <c r="Q249" s="37">
        <v>42095</v>
      </c>
      <c r="R249" s="37">
        <v>42643</v>
      </c>
      <c r="S249" s="35" t="s">
        <v>96</v>
      </c>
      <c r="T249" s="38">
        <f>+(6*((1141850+1714473+2097122)/9)+6*25000+26*190000+450000+7*270000+45*5000)*1.23*1.07</f>
        <v>14420898.142999999</v>
      </c>
      <c r="U249" s="39"/>
      <c r="V249" s="131"/>
      <c r="W249" s="38">
        <v>0</v>
      </c>
      <c r="X249" s="38">
        <v>0</v>
      </c>
      <c r="Y249" s="38">
        <v>0</v>
      </c>
      <c r="Z249" s="38">
        <v>0</v>
      </c>
      <c r="AA249" s="91">
        <f>+T249*0.235*0.3</f>
        <v>1016673.3190814999</v>
      </c>
      <c r="AB249" s="91">
        <f>+T249-AA249-AC249</f>
        <v>12538970.935338499</v>
      </c>
      <c r="AC249" s="91">
        <f>+T249*0.06</f>
        <v>865253.88857999991</v>
      </c>
      <c r="AD249" s="91">
        <v>0</v>
      </c>
      <c r="AE249" s="91">
        <f>+T249*0.01</f>
        <v>144208.98142999999</v>
      </c>
      <c r="AF249" s="91">
        <v>0</v>
      </c>
      <c r="AG249" s="204">
        <f t="shared" ref="AG249:AG254" si="47">+AE249*1.15</f>
        <v>165840.32864449997</v>
      </c>
    </row>
    <row r="250" spans="1:33" s="103" customFormat="1" ht="90" customHeight="1">
      <c r="A250" s="102">
        <f t="shared" si="45"/>
        <v>229</v>
      </c>
      <c r="B250" s="52"/>
      <c r="C250" s="51" t="s">
        <v>562</v>
      </c>
      <c r="D250" s="35" t="s">
        <v>65</v>
      </c>
      <c r="E250" s="35">
        <v>800007021</v>
      </c>
      <c r="F250" s="36" t="s">
        <v>67</v>
      </c>
      <c r="G250" s="35" t="s">
        <v>48</v>
      </c>
      <c r="H250" s="51" t="s">
        <v>545</v>
      </c>
      <c r="I250" s="34" t="s">
        <v>563</v>
      </c>
      <c r="J250" s="52" t="s">
        <v>550</v>
      </c>
      <c r="K250" s="52"/>
      <c r="L250" s="51" t="s">
        <v>61</v>
      </c>
      <c r="M250" s="51" t="s">
        <v>117</v>
      </c>
      <c r="N250" s="36" t="s">
        <v>50</v>
      </c>
      <c r="O250" s="51"/>
      <c r="P250" s="51" t="s">
        <v>564</v>
      </c>
      <c r="Q250" s="37">
        <v>42095</v>
      </c>
      <c r="R250" s="37">
        <v>42643</v>
      </c>
      <c r="S250" s="35" t="s">
        <v>96</v>
      </c>
      <c r="T250" s="38">
        <f>+((3658606+1293526+1350000+1247367+929210+1050000+150000)*1.07+16*190000)*1.23</f>
        <v>16477348.914900001</v>
      </c>
      <c r="U250" s="39"/>
      <c r="V250" s="131"/>
      <c r="W250" s="38">
        <v>0</v>
      </c>
      <c r="X250" s="38">
        <v>0</v>
      </c>
      <c r="Y250" s="38">
        <v>0</v>
      </c>
      <c r="Z250" s="38">
        <v>0</v>
      </c>
      <c r="AA250" s="91">
        <f>+T250*0.235*0.3</f>
        <v>1161653.0985004499</v>
      </c>
      <c r="AB250" s="91">
        <f>+T250-AA250-AC250</f>
        <v>14327054.881505553</v>
      </c>
      <c r="AC250" s="91">
        <f>+T250*0.06</f>
        <v>988640.93489400006</v>
      </c>
      <c r="AD250" s="91">
        <v>0</v>
      </c>
      <c r="AE250" s="91">
        <f>+T250*0.01</f>
        <v>164773.489149</v>
      </c>
      <c r="AF250" s="91">
        <v>0</v>
      </c>
      <c r="AG250" s="204">
        <f t="shared" si="47"/>
        <v>189489.51252135</v>
      </c>
    </row>
    <row r="251" spans="1:33" s="103" customFormat="1" ht="90" customHeight="1">
      <c r="A251" s="102">
        <f t="shared" si="45"/>
        <v>230</v>
      </c>
      <c r="B251" s="52"/>
      <c r="C251" s="51" t="s">
        <v>1235</v>
      </c>
      <c r="D251" s="35" t="s">
        <v>65</v>
      </c>
      <c r="E251" s="35">
        <v>800001495</v>
      </c>
      <c r="F251" s="36" t="s">
        <v>67</v>
      </c>
      <c r="G251" s="35" t="s">
        <v>48</v>
      </c>
      <c r="H251" s="51" t="s">
        <v>545</v>
      </c>
      <c r="I251" s="34" t="s">
        <v>556</v>
      </c>
      <c r="J251" s="52" t="s">
        <v>169</v>
      </c>
      <c r="K251" s="52" t="s">
        <v>60</v>
      </c>
      <c r="L251" s="51" t="s">
        <v>61</v>
      </c>
      <c r="M251" s="51" t="s">
        <v>117</v>
      </c>
      <c r="N251" s="36" t="s">
        <v>50</v>
      </c>
      <c r="O251" s="51"/>
      <c r="P251" s="51" t="s">
        <v>565</v>
      </c>
      <c r="Q251" s="37">
        <v>42095</v>
      </c>
      <c r="R251" s="37">
        <v>42643</v>
      </c>
      <c r="S251" s="35" t="s">
        <v>96</v>
      </c>
      <c r="T251" s="38">
        <f>+((1141850+1714473+1823640+3658606+929210+1350713+150000+1050000)*1.07+16*190000)*1.23</f>
        <v>19293517.321200002</v>
      </c>
      <c r="U251" s="39"/>
      <c r="V251" s="131"/>
      <c r="W251" s="38">
        <v>0</v>
      </c>
      <c r="X251" s="38">
        <v>0</v>
      </c>
      <c r="Y251" s="38">
        <v>0</v>
      </c>
      <c r="Z251" s="38">
        <v>0</v>
      </c>
      <c r="AA251" s="91">
        <f>+T251*0.235*0.3</f>
        <v>1360192.9711445998</v>
      </c>
      <c r="AB251" s="91">
        <f>+T251-AA251-AC251</f>
        <v>16582778.137571404</v>
      </c>
      <c r="AC251" s="91">
        <f>+T251*0.07</f>
        <v>1350546.2124840003</v>
      </c>
      <c r="AD251" s="91">
        <v>0</v>
      </c>
      <c r="AE251" s="91">
        <f>+T251*0.01</f>
        <v>192935.17321200002</v>
      </c>
      <c r="AF251" s="91">
        <v>0</v>
      </c>
      <c r="AG251" s="204">
        <f t="shared" si="47"/>
        <v>221875.44919380001</v>
      </c>
    </row>
    <row r="252" spans="1:33" s="103" customFormat="1" ht="90" customHeight="1">
      <c r="A252" s="102">
        <f t="shared" si="45"/>
        <v>231</v>
      </c>
      <c r="B252" s="52"/>
      <c r="C252" s="51" t="s">
        <v>567</v>
      </c>
      <c r="D252" s="35" t="s">
        <v>65</v>
      </c>
      <c r="E252" s="35">
        <v>800001503</v>
      </c>
      <c r="F252" s="36" t="s">
        <v>67</v>
      </c>
      <c r="G252" s="35" t="s">
        <v>48</v>
      </c>
      <c r="H252" s="51" t="s">
        <v>68</v>
      </c>
      <c r="I252" s="34" t="s">
        <v>90</v>
      </c>
      <c r="J252" s="52" t="s">
        <v>70</v>
      </c>
      <c r="K252" s="52" t="s">
        <v>60</v>
      </c>
      <c r="L252" s="51" t="s">
        <v>49</v>
      </c>
      <c r="M252" s="51" t="s">
        <v>100</v>
      </c>
      <c r="N252" s="36" t="s">
        <v>50</v>
      </c>
      <c r="O252" s="51"/>
      <c r="P252" s="51" t="s">
        <v>568</v>
      </c>
      <c r="Q252" s="37">
        <v>42095</v>
      </c>
      <c r="R252" s="37">
        <v>42643</v>
      </c>
      <c r="S252" s="35" t="s">
        <v>96</v>
      </c>
      <c r="T252" s="38">
        <f>736800*16+3000000</f>
        <v>14788800</v>
      </c>
      <c r="U252" s="39"/>
      <c r="V252" s="131"/>
      <c r="W252" s="38">
        <v>0</v>
      </c>
      <c r="X252" s="38">
        <v>0</v>
      </c>
      <c r="Y252" s="38">
        <v>0</v>
      </c>
      <c r="Z252" s="38">
        <v>0</v>
      </c>
      <c r="AA252" s="91">
        <f>+T252*0.235*0.3</f>
        <v>1042610.3999999999</v>
      </c>
      <c r="AB252" s="91">
        <f>+T252-AA252-AC252</f>
        <v>12858861.6</v>
      </c>
      <c r="AC252" s="91">
        <f>+T252*0.06</f>
        <v>887328</v>
      </c>
      <c r="AD252" s="91">
        <v>0</v>
      </c>
      <c r="AE252" s="91">
        <f>+T252*0.1</f>
        <v>1478880</v>
      </c>
      <c r="AF252" s="91">
        <v>0</v>
      </c>
      <c r="AG252" s="204">
        <f t="shared" si="47"/>
        <v>1700711.9999999998</v>
      </c>
    </row>
    <row r="253" spans="1:33" s="103" customFormat="1" ht="90" customHeight="1">
      <c r="A253" s="102">
        <f t="shared" si="45"/>
        <v>232</v>
      </c>
      <c r="B253" s="52"/>
      <c r="C253" s="51" t="s">
        <v>571</v>
      </c>
      <c r="D253" s="35" t="s">
        <v>65</v>
      </c>
      <c r="E253" s="35">
        <v>800000433</v>
      </c>
      <c r="F253" s="36" t="s">
        <v>67</v>
      </c>
      <c r="G253" s="35" t="s">
        <v>48</v>
      </c>
      <c r="H253" s="51" t="s">
        <v>68</v>
      </c>
      <c r="I253" s="34" t="s">
        <v>219</v>
      </c>
      <c r="J253" s="52" t="s">
        <v>84</v>
      </c>
      <c r="K253" s="52"/>
      <c r="L253" s="51" t="s">
        <v>61</v>
      </c>
      <c r="M253" s="51" t="s">
        <v>117</v>
      </c>
      <c r="N253" s="36" t="s">
        <v>50</v>
      </c>
      <c r="O253" s="51"/>
      <c r="P253" s="51" t="s">
        <v>572</v>
      </c>
      <c r="Q253" s="37">
        <v>42095</v>
      </c>
      <c r="R253" s="37">
        <v>42094</v>
      </c>
      <c r="S253" s="35" t="s">
        <v>96</v>
      </c>
      <c r="T253" s="38">
        <f>736800*4</f>
        <v>2947200</v>
      </c>
      <c r="U253" s="39"/>
      <c r="V253" s="131"/>
      <c r="W253" s="38">
        <v>0</v>
      </c>
      <c r="X253" s="38">
        <v>0</v>
      </c>
      <c r="Y253" s="38">
        <v>0</v>
      </c>
      <c r="Z253" s="38">
        <v>0</v>
      </c>
      <c r="AA253" s="91">
        <f>+T253*0.235*0.3</f>
        <v>207777.6</v>
      </c>
      <c r="AB253" s="91">
        <f>+T253-AA253-AC253</f>
        <v>2562590.4</v>
      </c>
      <c r="AC253" s="91">
        <f>+T253*0.06</f>
        <v>176832</v>
      </c>
      <c r="AD253" s="91">
        <v>0</v>
      </c>
      <c r="AE253" s="91">
        <f>+T253*0.01</f>
        <v>29472</v>
      </c>
      <c r="AF253" s="91">
        <v>0</v>
      </c>
      <c r="AG253" s="204">
        <f t="shared" si="47"/>
        <v>33892.799999999996</v>
      </c>
    </row>
    <row r="254" spans="1:33" s="103" customFormat="1" ht="90" customHeight="1">
      <c r="A254" s="102">
        <f t="shared" si="45"/>
        <v>233</v>
      </c>
      <c r="B254" s="52"/>
      <c r="C254" s="51" t="s">
        <v>573</v>
      </c>
      <c r="D254" s="35" t="s">
        <v>96</v>
      </c>
      <c r="E254" s="35" t="s">
        <v>66</v>
      </c>
      <c r="F254" s="36" t="s">
        <v>67</v>
      </c>
      <c r="G254" s="35" t="s">
        <v>48</v>
      </c>
      <c r="H254" s="51" t="s">
        <v>68</v>
      </c>
      <c r="I254" s="34" t="s">
        <v>105</v>
      </c>
      <c r="J254" s="52" t="s">
        <v>70</v>
      </c>
      <c r="K254" s="52" t="s">
        <v>60</v>
      </c>
      <c r="L254" s="51" t="s">
        <v>49</v>
      </c>
      <c r="M254" s="51" t="s">
        <v>2</v>
      </c>
      <c r="N254" s="36" t="s">
        <v>50</v>
      </c>
      <c r="O254" s="51"/>
      <c r="P254" s="51" t="s">
        <v>574</v>
      </c>
      <c r="Q254" s="37">
        <v>42095</v>
      </c>
      <c r="R254" s="37">
        <v>42643</v>
      </c>
      <c r="S254" s="35" t="s">
        <v>96</v>
      </c>
      <c r="T254" s="38">
        <f>736800*16+3000000+1212500*5+1029250*2+2900000+40000*24+1127500+1500000+600000+350000+1350000+1369000+522500+770000+450000</f>
        <v>34808800</v>
      </c>
      <c r="U254" s="39"/>
      <c r="V254" s="131"/>
      <c r="W254" s="38">
        <v>0</v>
      </c>
      <c r="X254" s="38">
        <v>0</v>
      </c>
      <c r="Y254" s="132">
        <f>+T254*0.235*0.3</f>
        <v>2454020.4</v>
      </c>
      <c r="Z254" s="38">
        <f>+T254-Y254-AA254</f>
        <v>30614339.600000001</v>
      </c>
      <c r="AA254" s="91">
        <f>+T254*0.05</f>
        <v>1740440</v>
      </c>
      <c r="AB254" s="91">
        <v>0</v>
      </c>
      <c r="AC254" s="91">
        <f>+AA254*0.1</f>
        <v>174044</v>
      </c>
      <c r="AD254" s="91">
        <v>0</v>
      </c>
      <c r="AE254" s="91">
        <f>+AC254*1.15</f>
        <v>200150.59999999998</v>
      </c>
      <c r="AF254" s="91">
        <v>0</v>
      </c>
      <c r="AG254" s="204">
        <f t="shared" si="47"/>
        <v>230173.18999999994</v>
      </c>
    </row>
    <row r="255" spans="1:33" s="103" customFormat="1" ht="90" customHeight="1">
      <c r="A255" s="102">
        <f t="shared" si="45"/>
        <v>234</v>
      </c>
      <c r="B255" s="52"/>
      <c r="C255" s="51" t="s">
        <v>575</v>
      </c>
      <c r="D255" s="35" t="s">
        <v>65</v>
      </c>
      <c r="E255" s="35">
        <v>800020529</v>
      </c>
      <c r="F255" s="36" t="s">
        <v>67</v>
      </c>
      <c r="G255" s="35" t="s">
        <v>48</v>
      </c>
      <c r="H255" s="51" t="s">
        <v>68</v>
      </c>
      <c r="I255" s="34" t="s">
        <v>576</v>
      </c>
      <c r="J255" s="52" t="s">
        <v>84</v>
      </c>
      <c r="K255" s="52"/>
      <c r="L255" s="51" t="s">
        <v>49</v>
      </c>
      <c r="M255" s="51" t="s">
        <v>100</v>
      </c>
      <c r="N255" s="36" t="s">
        <v>50</v>
      </c>
      <c r="O255" s="51"/>
      <c r="P255" s="51" t="s">
        <v>577</v>
      </c>
      <c r="Q255" s="37">
        <v>42095</v>
      </c>
      <c r="R255" s="37">
        <v>42369</v>
      </c>
      <c r="S255" s="35" t="s">
        <v>96</v>
      </c>
      <c r="T255" s="38">
        <f>+(3658606)*1.23*1.07</f>
        <v>4815091.3566000005</v>
      </c>
      <c r="U255" s="39"/>
      <c r="V255" s="131"/>
      <c r="W255" s="38">
        <v>0</v>
      </c>
      <c r="X255" s="38">
        <v>0</v>
      </c>
      <c r="Y255" s="38">
        <v>0</v>
      </c>
      <c r="Z255" s="38">
        <v>0</v>
      </c>
      <c r="AA255" s="91">
        <v>0</v>
      </c>
      <c r="AB255" s="91">
        <v>0</v>
      </c>
      <c r="AC255" s="91">
        <v>0</v>
      </c>
      <c r="AD255" s="91">
        <v>0</v>
      </c>
      <c r="AE255" s="91">
        <v>0</v>
      </c>
      <c r="AF255" s="91">
        <f>+T255*0.235*0.3</f>
        <v>339463.94064030005</v>
      </c>
      <c r="AG255" s="204">
        <f>+T255-AF255</f>
        <v>4475627.4159597009</v>
      </c>
    </row>
    <row r="256" spans="1:33" s="103" customFormat="1" ht="90" customHeight="1">
      <c r="A256" s="102">
        <f t="shared" si="45"/>
        <v>235</v>
      </c>
      <c r="B256" s="52"/>
      <c r="C256" s="51" t="s">
        <v>578</v>
      </c>
      <c r="D256" s="35" t="s">
        <v>96</v>
      </c>
      <c r="E256" s="35">
        <v>800001826</v>
      </c>
      <c r="F256" s="36" t="s">
        <v>67</v>
      </c>
      <c r="G256" s="35" t="s">
        <v>48</v>
      </c>
      <c r="H256" s="51" t="s">
        <v>68</v>
      </c>
      <c r="I256" s="34" t="s">
        <v>579</v>
      </c>
      <c r="J256" s="52" t="s">
        <v>70</v>
      </c>
      <c r="K256" s="52" t="s">
        <v>60</v>
      </c>
      <c r="L256" s="51" t="s">
        <v>49</v>
      </c>
      <c r="M256" s="51" t="s">
        <v>100</v>
      </c>
      <c r="N256" s="36" t="s">
        <v>50</v>
      </c>
      <c r="O256" s="51"/>
      <c r="P256" s="51" t="s">
        <v>580</v>
      </c>
      <c r="Q256" s="37">
        <v>42095</v>
      </c>
      <c r="R256" s="37">
        <v>42369</v>
      </c>
      <c r="S256" s="35" t="s">
        <v>96</v>
      </c>
      <c r="T256" s="38">
        <f>736800*12+40000*20+1613500</f>
        <v>11255100</v>
      </c>
      <c r="U256" s="39"/>
      <c r="V256" s="131"/>
      <c r="W256" s="38">
        <v>0</v>
      </c>
      <c r="X256" s="38">
        <v>0</v>
      </c>
      <c r="Y256" s="38">
        <v>0</v>
      </c>
      <c r="Z256" s="38">
        <v>0</v>
      </c>
      <c r="AA256" s="91">
        <f>+T256*0.235*0.3</f>
        <v>793484.54999999993</v>
      </c>
      <c r="AB256" s="91">
        <f>+T256-AA256-AC256</f>
        <v>9898860.4499999993</v>
      </c>
      <c r="AC256" s="91">
        <f>+T256*0.05</f>
        <v>562755</v>
      </c>
      <c r="AD256" s="91">
        <v>0</v>
      </c>
      <c r="AE256" s="91">
        <f>+T256*0.01</f>
        <v>112551</v>
      </c>
      <c r="AF256" s="91">
        <v>0</v>
      </c>
      <c r="AG256" s="204">
        <f>+AE256*1.15</f>
        <v>129433.65</v>
      </c>
    </row>
    <row r="257" spans="1:33" s="103" customFormat="1" ht="90" customHeight="1">
      <c r="A257" s="102">
        <f t="shared" si="45"/>
        <v>236</v>
      </c>
      <c r="B257" s="52"/>
      <c r="C257" s="51" t="s">
        <v>1234</v>
      </c>
      <c r="D257" s="35" t="s">
        <v>581</v>
      </c>
      <c r="E257" s="35">
        <v>800000729</v>
      </c>
      <c r="F257" s="36" t="s">
        <v>67</v>
      </c>
      <c r="G257" s="35" t="s">
        <v>48</v>
      </c>
      <c r="H257" s="51" t="s">
        <v>57</v>
      </c>
      <c r="I257" s="34" t="s">
        <v>582</v>
      </c>
      <c r="J257" s="52" t="s">
        <v>158</v>
      </c>
      <c r="K257" s="52"/>
      <c r="L257" s="51" t="s">
        <v>262</v>
      </c>
      <c r="M257" s="51" t="s">
        <v>298</v>
      </c>
      <c r="N257" s="36" t="s">
        <v>50</v>
      </c>
      <c r="O257" s="51"/>
      <c r="P257" s="51" t="s">
        <v>583</v>
      </c>
      <c r="Q257" s="37">
        <v>43556</v>
      </c>
      <c r="R257" s="37">
        <v>43920</v>
      </c>
      <c r="S257" s="35" t="s">
        <v>96</v>
      </c>
      <c r="T257" s="38">
        <f>736800*12+40000*10+1350000+300000*21+450000</f>
        <v>17341600</v>
      </c>
      <c r="U257" s="39"/>
      <c r="V257" s="131"/>
      <c r="W257" s="38">
        <v>0</v>
      </c>
      <c r="X257" s="38">
        <v>0</v>
      </c>
      <c r="Y257" s="38">
        <v>0</v>
      </c>
      <c r="Z257" s="38">
        <f>+T257*0.235*0.3</f>
        <v>1222582.8</v>
      </c>
      <c r="AA257" s="91">
        <f>+T257-Z257</f>
        <v>16119017.199999999</v>
      </c>
      <c r="AB257" s="91">
        <v>0</v>
      </c>
      <c r="AC257" s="91">
        <v>0</v>
      </c>
      <c r="AD257" s="91">
        <v>0</v>
      </c>
      <c r="AE257" s="91">
        <v>0</v>
      </c>
      <c r="AF257" s="91">
        <v>0</v>
      </c>
      <c r="AG257" s="204">
        <v>0</v>
      </c>
    </row>
    <row r="258" spans="1:33" s="103" customFormat="1" ht="90" customHeight="1">
      <c r="A258" s="102">
        <f t="shared" si="45"/>
        <v>237</v>
      </c>
      <c r="B258" s="52"/>
      <c r="C258" s="51" t="s">
        <v>737</v>
      </c>
      <c r="D258" s="35" t="s">
        <v>96</v>
      </c>
      <c r="E258" s="35">
        <v>800001941</v>
      </c>
      <c r="F258" s="36" t="s">
        <v>67</v>
      </c>
      <c r="G258" s="35" t="s">
        <v>48</v>
      </c>
      <c r="H258" s="51" t="s">
        <v>57</v>
      </c>
      <c r="I258" s="34" t="s">
        <v>584</v>
      </c>
      <c r="J258" s="52" t="s">
        <v>188</v>
      </c>
      <c r="K258" s="52" t="s">
        <v>60</v>
      </c>
      <c r="L258" s="51" t="s">
        <v>61</v>
      </c>
      <c r="M258" s="51" t="s">
        <v>222</v>
      </c>
      <c r="N258" s="36" t="s">
        <v>50</v>
      </c>
      <c r="O258" s="51"/>
      <c r="P258" s="51" t="s">
        <v>585</v>
      </c>
      <c r="Q258" s="37">
        <v>42095</v>
      </c>
      <c r="R258" s="37">
        <v>42369</v>
      </c>
      <c r="S258" s="35" t="s">
        <v>52</v>
      </c>
      <c r="T258" s="38">
        <v>2235200</v>
      </c>
      <c r="U258" s="39"/>
      <c r="V258" s="131"/>
      <c r="W258" s="38">
        <v>0</v>
      </c>
      <c r="X258" s="38">
        <f>+T258</f>
        <v>2235200</v>
      </c>
      <c r="Y258" s="38">
        <v>0</v>
      </c>
      <c r="Z258" s="38">
        <v>0</v>
      </c>
      <c r="AA258" s="91">
        <v>0</v>
      </c>
      <c r="AB258" s="91">
        <v>0</v>
      </c>
      <c r="AC258" s="91">
        <v>0</v>
      </c>
      <c r="AD258" s="91">
        <v>0</v>
      </c>
      <c r="AE258" s="91">
        <v>0</v>
      </c>
      <c r="AF258" s="91">
        <v>0</v>
      </c>
      <c r="AG258" s="204">
        <v>0</v>
      </c>
    </row>
    <row r="259" spans="1:33" s="103" customFormat="1" ht="90" customHeight="1">
      <c r="A259" s="102">
        <f t="shared" si="45"/>
        <v>238</v>
      </c>
      <c r="B259" s="52"/>
      <c r="C259" s="51" t="s">
        <v>319</v>
      </c>
      <c r="D259" s="35" t="s">
        <v>65</v>
      </c>
      <c r="E259" s="35">
        <v>800003970</v>
      </c>
      <c r="F259" s="36" t="s">
        <v>67</v>
      </c>
      <c r="G259" s="35" t="s">
        <v>48</v>
      </c>
      <c r="H259" s="51" t="s">
        <v>57</v>
      </c>
      <c r="I259" s="34" t="s">
        <v>320</v>
      </c>
      <c r="J259" s="52" t="s">
        <v>188</v>
      </c>
      <c r="K259" s="52" t="s">
        <v>60</v>
      </c>
      <c r="L259" s="51" t="s">
        <v>61</v>
      </c>
      <c r="M259" s="51" t="s">
        <v>222</v>
      </c>
      <c r="N259" s="36" t="s">
        <v>50</v>
      </c>
      <c r="O259" s="51"/>
      <c r="P259" s="51" t="s">
        <v>585</v>
      </c>
      <c r="Q259" s="37">
        <v>42095</v>
      </c>
      <c r="R259" s="37">
        <v>42369</v>
      </c>
      <c r="S259" s="35" t="s">
        <v>96</v>
      </c>
      <c r="T259" s="38">
        <f t="shared" ref="T259" si="48">+(1*1823640)*1.23*1.07</f>
        <v>2400092.6040000003</v>
      </c>
      <c r="U259" s="39"/>
      <c r="V259" s="131"/>
      <c r="W259" s="38">
        <v>0</v>
      </c>
      <c r="X259" s="38">
        <v>0</v>
      </c>
      <c r="Y259" s="132">
        <v>0</v>
      </c>
      <c r="Z259" s="38">
        <v>0</v>
      </c>
      <c r="AA259" s="91"/>
      <c r="AB259" s="91"/>
      <c r="AC259" s="91"/>
      <c r="AD259" s="91"/>
      <c r="AE259" s="91"/>
      <c r="AF259" s="91"/>
      <c r="AG259" s="204"/>
    </row>
    <row r="260" spans="1:33" s="103" customFormat="1" ht="90" customHeight="1">
      <c r="A260" s="102">
        <f t="shared" si="45"/>
        <v>239</v>
      </c>
      <c r="B260" s="52"/>
      <c r="C260" s="51" t="s">
        <v>586</v>
      </c>
      <c r="D260" s="35" t="s">
        <v>65</v>
      </c>
      <c r="E260" s="35">
        <v>800030809</v>
      </c>
      <c r="F260" s="36" t="s">
        <v>67</v>
      </c>
      <c r="G260" s="35" t="s">
        <v>48</v>
      </c>
      <c r="H260" s="51" t="s">
        <v>57</v>
      </c>
      <c r="I260" s="34" t="s">
        <v>58</v>
      </c>
      <c r="J260" s="51" t="s">
        <v>782</v>
      </c>
      <c r="K260" s="52" t="s">
        <v>60</v>
      </c>
      <c r="L260" s="51" t="s">
        <v>61</v>
      </c>
      <c r="M260" s="51" t="s">
        <v>117</v>
      </c>
      <c r="N260" s="36" t="s">
        <v>50</v>
      </c>
      <c r="O260" s="51"/>
      <c r="P260" s="51" t="s">
        <v>1249</v>
      </c>
      <c r="Q260" s="37">
        <v>42095</v>
      </c>
      <c r="R260" s="37">
        <v>42643</v>
      </c>
      <c r="S260" s="35" t="s">
        <v>96</v>
      </c>
      <c r="T260" s="38">
        <f>+(8*((1141850+1714473+2097122)/9)+3658606+1350713+4298671+929210+300000+1050000+1823640)*1.23*1.07</f>
        <v>23444876.714666668</v>
      </c>
      <c r="U260" s="39"/>
      <c r="V260" s="131"/>
      <c r="W260" s="38">
        <v>0</v>
      </c>
      <c r="X260" s="38">
        <v>0</v>
      </c>
      <c r="Y260" s="38">
        <v>0</v>
      </c>
      <c r="Z260" s="38">
        <f>+T260*0.235*0.3</f>
        <v>1652863.8083840001</v>
      </c>
      <c r="AA260" s="91">
        <f>+T260-Z260-AB260</f>
        <v>20385320.303402666</v>
      </c>
      <c r="AB260" s="91">
        <f>+T260*0.06</f>
        <v>1406692.6028800001</v>
      </c>
      <c r="AC260" s="91">
        <v>0</v>
      </c>
      <c r="AD260" s="91">
        <f>+T260*0.01</f>
        <v>234448.76714666668</v>
      </c>
      <c r="AE260" s="91">
        <v>0</v>
      </c>
      <c r="AF260" s="91">
        <f>+AD260*1.15</f>
        <v>269616.08221866668</v>
      </c>
      <c r="AG260" s="204">
        <v>0</v>
      </c>
    </row>
    <row r="261" spans="1:33" s="103" customFormat="1" ht="90" customHeight="1">
      <c r="A261" s="102">
        <f t="shared" si="45"/>
        <v>240</v>
      </c>
      <c r="B261" s="52"/>
      <c r="C261" s="51" t="s">
        <v>587</v>
      </c>
      <c r="D261" s="35" t="s">
        <v>73</v>
      </c>
      <c r="E261" s="35">
        <v>800035308</v>
      </c>
      <c r="F261" s="36" t="s">
        <v>67</v>
      </c>
      <c r="G261" s="35" t="s">
        <v>48</v>
      </c>
      <c r="H261" s="51" t="s">
        <v>57</v>
      </c>
      <c r="I261" s="34" t="s">
        <v>584</v>
      </c>
      <c r="J261" s="52" t="s">
        <v>188</v>
      </c>
      <c r="K261" s="52" t="s">
        <v>60</v>
      </c>
      <c r="L261" s="51" t="s">
        <v>61</v>
      </c>
      <c r="M261" s="51" t="s">
        <v>117</v>
      </c>
      <c r="N261" s="36" t="s">
        <v>50</v>
      </c>
      <c r="O261" s="51"/>
      <c r="P261" s="51" t="s">
        <v>710</v>
      </c>
      <c r="Q261" s="37">
        <v>42095</v>
      </c>
      <c r="R261" s="37">
        <v>42643</v>
      </c>
      <c r="S261" s="35" t="s">
        <v>96</v>
      </c>
      <c r="T261" s="38">
        <f>+(12*((1141850+1714473+2097122)/9)+1247367+1293526+1350713+4298671+300000+929210+18*1022001/14+1050000+150000)*1.23*1.07</f>
        <v>24397969.218828574</v>
      </c>
      <c r="U261" s="39"/>
      <c r="V261" s="131"/>
      <c r="W261" s="38">
        <v>0</v>
      </c>
      <c r="X261" s="38">
        <v>0</v>
      </c>
      <c r="Y261" s="38">
        <v>0</v>
      </c>
      <c r="Z261" s="38">
        <v>0</v>
      </c>
      <c r="AA261" s="91">
        <f>+T261*0.235*0.3</f>
        <v>1720056.8299274144</v>
      </c>
      <c r="AB261" s="91">
        <f>+T261-AA261-AC261</f>
        <v>21214034.235771444</v>
      </c>
      <c r="AC261" s="91">
        <f>+T261*0.06</f>
        <v>1463878.1531297143</v>
      </c>
      <c r="AD261" s="91">
        <v>0</v>
      </c>
      <c r="AE261" s="91">
        <f>+T261*0.01</f>
        <v>243979.69218828576</v>
      </c>
      <c r="AF261" s="91">
        <v>0</v>
      </c>
      <c r="AG261" s="204">
        <f>+AE261*1.15</f>
        <v>280576.6460165286</v>
      </c>
    </row>
    <row r="262" spans="1:33" s="103" customFormat="1" ht="90" customHeight="1">
      <c r="A262" s="102">
        <f t="shared" si="45"/>
        <v>241</v>
      </c>
      <c r="B262" s="52"/>
      <c r="C262" s="51" t="s">
        <v>588</v>
      </c>
      <c r="D262" s="35" t="s">
        <v>73</v>
      </c>
      <c r="E262" s="35">
        <v>800022392</v>
      </c>
      <c r="F262" s="36" t="s">
        <v>67</v>
      </c>
      <c r="G262" s="35" t="s">
        <v>48</v>
      </c>
      <c r="H262" s="51" t="s">
        <v>57</v>
      </c>
      <c r="I262" s="34" t="s">
        <v>115</v>
      </c>
      <c r="J262" s="52" t="s">
        <v>116</v>
      </c>
      <c r="K262" s="52"/>
      <c r="L262" s="51" t="s">
        <v>61</v>
      </c>
      <c r="M262" s="51" t="s">
        <v>117</v>
      </c>
      <c r="N262" s="36" t="s">
        <v>50</v>
      </c>
      <c r="O262" s="51"/>
      <c r="P262" s="51" t="s">
        <v>1047</v>
      </c>
      <c r="Q262" s="37">
        <v>42095</v>
      </c>
      <c r="R262" s="37">
        <v>42643</v>
      </c>
      <c r="S262" s="35" t="s">
        <v>96</v>
      </c>
      <c r="T262" s="38">
        <f>+(6*((1141850+1714473+2097122)/9)+1293526+1350713+929210+4*1022001/14+1350000+4298671+300000+1050000+150000)*1.23*1.07</f>
        <v>18841836.351028569</v>
      </c>
      <c r="U262" s="39"/>
      <c r="V262" s="131"/>
      <c r="W262" s="38">
        <v>0</v>
      </c>
      <c r="X262" s="38">
        <v>0</v>
      </c>
      <c r="Y262" s="38">
        <v>0</v>
      </c>
      <c r="Z262" s="38">
        <f>+T262*0.235*0.3</f>
        <v>1328349.462747514</v>
      </c>
      <c r="AA262" s="91">
        <f>+T262-Z262-AB262</f>
        <v>16382976.70721934</v>
      </c>
      <c r="AB262" s="91">
        <f>+T262*0.06</f>
        <v>1130510.1810617142</v>
      </c>
      <c r="AC262" s="91">
        <v>0</v>
      </c>
      <c r="AD262" s="91">
        <f>+T262*0.01</f>
        <v>188418.36351028571</v>
      </c>
      <c r="AE262" s="91">
        <v>0</v>
      </c>
      <c r="AF262" s="91">
        <f>+AD262*1.15</f>
        <v>216681.11803682856</v>
      </c>
      <c r="AG262" s="204">
        <v>0</v>
      </c>
    </row>
    <row r="263" spans="1:33" s="103" customFormat="1" ht="90" customHeight="1">
      <c r="A263" s="102">
        <f t="shared" si="45"/>
        <v>242</v>
      </c>
      <c r="B263" s="52"/>
      <c r="C263" s="51" t="s">
        <v>589</v>
      </c>
      <c r="D263" s="35" t="s">
        <v>581</v>
      </c>
      <c r="E263" s="35">
        <v>800010398</v>
      </c>
      <c r="F263" s="36" t="s">
        <v>67</v>
      </c>
      <c r="G263" s="35" t="s">
        <v>48</v>
      </c>
      <c r="H263" s="51" t="s">
        <v>57</v>
      </c>
      <c r="I263" s="34" t="s">
        <v>320</v>
      </c>
      <c r="J263" s="52" t="s">
        <v>188</v>
      </c>
      <c r="K263" s="52" t="s">
        <v>60</v>
      </c>
      <c r="L263" s="51" t="s">
        <v>262</v>
      </c>
      <c r="M263" s="51" t="s">
        <v>298</v>
      </c>
      <c r="N263" s="36" t="s">
        <v>50</v>
      </c>
      <c r="O263" s="51"/>
      <c r="P263" s="51" t="s">
        <v>590</v>
      </c>
      <c r="Q263" s="37">
        <v>43556</v>
      </c>
      <c r="R263" s="37">
        <v>43920</v>
      </c>
      <c r="S263" s="35" t="s">
        <v>96</v>
      </c>
      <c r="T263" s="38">
        <f>736800*8+1613500+40000*10</f>
        <v>7907900</v>
      </c>
      <c r="U263" s="39"/>
      <c r="V263" s="131"/>
      <c r="W263" s="38">
        <v>0</v>
      </c>
      <c r="X263" s="38">
        <v>0</v>
      </c>
      <c r="Y263" s="38">
        <v>0</v>
      </c>
      <c r="Z263" s="38">
        <v>0</v>
      </c>
      <c r="AA263" s="91">
        <v>0</v>
      </c>
      <c r="AB263" s="91">
        <f>+T263*0.235*0.3</f>
        <v>557506.94999999995</v>
      </c>
      <c r="AC263" s="91">
        <f>+T263-AB263-AD263</f>
        <v>6875919.0499999998</v>
      </c>
      <c r="AD263" s="91">
        <f>+T263*0.06</f>
        <v>474474</v>
      </c>
      <c r="AE263" s="91">
        <v>0</v>
      </c>
      <c r="AF263" s="91">
        <f>+T263*0.01</f>
        <v>79079</v>
      </c>
      <c r="AG263" s="204">
        <v>0</v>
      </c>
    </row>
    <row r="264" spans="1:33" s="103" customFormat="1" ht="90" customHeight="1">
      <c r="A264" s="102">
        <f t="shared" si="45"/>
        <v>243</v>
      </c>
      <c r="B264" s="52"/>
      <c r="C264" s="51" t="s">
        <v>591</v>
      </c>
      <c r="D264" s="35" t="s">
        <v>65</v>
      </c>
      <c r="E264" s="35">
        <v>800011916</v>
      </c>
      <c r="F264" s="36" t="s">
        <v>67</v>
      </c>
      <c r="G264" s="35" t="s">
        <v>48</v>
      </c>
      <c r="H264" s="51" t="s">
        <v>57</v>
      </c>
      <c r="I264" s="34" t="s">
        <v>450</v>
      </c>
      <c r="J264" s="52" t="s">
        <v>188</v>
      </c>
      <c r="K264" s="52" t="s">
        <v>60</v>
      </c>
      <c r="L264" s="51" t="s">
        <v>61</v>
      </c>
      <c r="M264" s="51" t="s">
        <v>222</v>
      </c>
      <c r="N264" s="36" t="s">
        <v>50</v>
      </c>
      <c r="O264" s="51"/>
      <c r="P264" s="51" t="s">
        <v>585</v>
      </c>
      <c r="Q264" s="37">
        <v>42095</v>
      </c>
      <c r="R264" s="37">
        <v>42369</v>
      </c>
      <c r="S264" s="35" t="s">
        <v>96</v>
      </c>
      <c r="T264" s="38">
        <f t="shared" ref="T264" si="49">+(1*1823640)*1.23*1.07</f>
        <v>2400092.6040000003</v>
      </c>
      <c r="U264" s="39"/>
      <c r="V264" s="131"/>
      <c r="W264" s="38">
        <v>0</v>
      </c>
      <c r="X264" s="38">
        <v>0</v>
      </c>
      <c r="Y264" s="38">
        <v>0</v>
      </c>
      <c r="Z264" s="38">
        <v>0</v>
      </c>
      <c r="AA264" s="91">
        <f>+T264*0.235*0.3</f>
        <v>169206.528582</v>
      </c>
      <c r="AB264" s="91">
        <f>+T264-AA264-AC264</f>
        <v>2230886.0754180001</v>
      </c>
      <c r="AC264" s="91">
        <v>0</v>
      </c>
      <c r="AD264" s="91">
        <f>+T264*0.01</f>
        <v>24000.926040000002</v>
      </c>
      <c r="AE264" s="91">
        <v>0</v>
      </c>
      <c r="AF264" s="91">
        <f>+AD264*1.15</f>
        <v>27601.064945999999</v>
      </c>
      <c r="AG264" s="204">
        <v>0</v>
      </c>
    </row>
    <row r="265" spans="1:33" s="103" customFormat="1" ht="90" customHeight="1">
      <c r="A265" s="102">
        <f t="shared" si="45"/>
        <v>244</v>
      </c>
      <c r="B265" s="52"/>
      <c r="C265" s="51" t="s">
        <v>593</v>
      </c>
      <c r="D265" s="35" t="s">
        <v>65</v>
      </c>
      <c r="E265" s="35">
        <v>800006791</v>
      </c>
      <c r="F265" s="36" t="s">
        <v>67</v>
      </c>
      <c r="G265" s="35" t="s">
        <v>48</v>
      </c>
      <c r="H265" s="51" t="s">
        <v>57</v>
      </c>
      <c r="I265" s="34" t="s">
        <v>266</v>
      </c>
      <c r="J265" s="51" t="s">
        <v>782</v>
      </c>
      <c r="K265" s="52" t="s">
        <v>60</v>
      </c>
      <c r="L265" s="51" t="s">
        <v>49</v>
      </c>
      <c r="M265" s="51" t="s">
        <v>100</v>
      </c>
      <c r="N265" s="36" t="s">
        <v>50</v>
      </c>
      <c r="O265" s="51"/>
      <c r="P265" s="51" t="s">
        <v>1240</v>
      </c>
      <c r="Q265" s="37">
        <v>42095</v>
      </c>
      <c r="R265" s="37">
        <v>42643</v>
      </c>
      <c r="S265" s="35" t="s">
        <v>96</v>
      </c>
      <c r="T265" s="38">
        <f>+((5*(1141850+1714473+2097122)/9+1823640)*1.07+5*25000)*1.23</f>
        <v>6175636.4731666669</v>
      </c>
      <c r="U265" s="39"/>
      <c r="V265" s="131"/>
      <c r="W265" s="38">
        <v>0</v>
      </c>
      <c r="X265" s="38">
        <v>0</v>
      </c>
      <c r="Y265" s="38">
        <v>0</v>
      </c>
      <c r="Z265" s="38">
        <v>0</v>
      </c>
      <c r="AA265" s="91">
        <f>+T265*0.235*0.3</f>
        <v>435382.37135824998</v>
      </c>
      <c r="AB265" s="91">
        <f>+T265-AA265</f>
        <v>5740254.1018084167</v>
      </c>
      <c r="AC265" s="91">
        <v>0</v>
      </c>
      <c r="AD265" s="91">
        <f>+(T265)*0.01</f>
        <v>61756.364731666668</v>
      </c>
      <c r="AE265" s="91">
        <v>0</v>
      </c>
      <c r="AF265" s="91">
        <f>+AD265*1.15</f>
        <v>71019.819441416665</v>
      </c>
      <c r="AG265" s="204">
        <v>0</v>
      </c>
    </row>
    <row r="266" spans="1:33" s="103" customFormat="1" ht="90" customHeight="1">
      <c r="A266" s="102">
        <f t="shared" si="45"/>
        <v>245</v>
      </c>
      <c r="B266" s="52"/>
      <c r="C266" s="51" t="s">
        <v>595</v>
      </c>
      <c r="D266" s="35" t="s">
        <v>339</v>
      </c>
      <c r="E266" s="35" t="s">
        <v>339</v>
      </c>
      <c r="F266" s="36" t="s">
        <v>47</v>
      </c>
      <c r="G266" s="35" t="s">
        <v>48</v>
      </c>
      <c r="H266" s="51" t="s">
        <v>97</v>
      </c>
      <c r="I266" s="34" t="s">
        <v>354</v>
      </c>
      <c r="J266" s="52" t="s">
        <v>164</v>
      </c>
      <c r="K266" s="52"/>
      <c r="L266" s="51" t="s">
        <v>61</v>
      </c>
      <c r="M266" s="51" t="s">
        <v>4</v>
      </c>
      <c r="N266" s="36" t="s">
        <v>50</v>
      </c>
      <c r="O266" s="51"/>
      <c r="P266" s="51" t="s">
        <v>596</v>
      </c>
      <c r="Q266" s="37">
        <v>41791</v>
      </c>
      <c r="R266" s="37">
        <v>42277</v>
      </c>
      <c r="S266" s="35" t="s">
        <v>52</v>
      </c>
      <c r="T266" s="38">
        <v>20000000</v>
      </c>
      <c r="U266" s="39"/>
      <c r="V266" s="131"/>
      <c r="W266" s="38">
        <f>+T266</f>
        <v>20000000</v>
      </c>
      <c r="X266" s="38">
        <v>0</v>
      </c>
      <c r="Y266" s="38">
        <v>0</v>
      </c>
      <c r="Z266" s="38">
        <v>0</v>
      </c>
      <c r="AA266" s="91">
        <v>0</v>
      </c>
      <c r="AB266" s="91">
        <v>0</v>
      </c>
      <c r="AC266" s="91">
        <v>0</v>
      </c>
      <c r="AD266" s="91">
        <v>0</v>
      </c>
      <c r="AE266" s="91">
        <v>0</v>
      </c>
      <c r="AF266" s="91">
        <v>0</v>
      </c>
      <c r="AG266" s="204">
        <v>0</v>
      </c>
    </row>
    <row r="267" spans="1:33" s="103" customFormat="1" ht="90" customHeight="1">
      <c r="A267" s="102">
        <f t="shared" si="45"/>
        <v>246</v>
      </c>
      <c r="B267" s="52"/>
      <c r="C267" s="51" t="s">
        <v>597</v>
      </c>
      <c r="D267" s="35" t="s">
        <v>96</v>
      </c>
      <c r="E267" s="35">
        <v>800017962</v>
      </c>
      <c r="F267" s="36" t="s">
        <v>67</v>
      </c>
      <c r="G267" s="35" t="s">
        <v>48</v>
      </c>
      <c r="H267" s="51" t="s">
        <v>97</v>
      </c>
      <c r="I267" s="34" t="s">
        <v>168</v>
      </c>
      <c r="J267" s="52" t="s">
        <v>169</v>
      </c>
      <c r="K267" s="52" t="s">
        <v>60</v>
      </c>
      <c r="L267" s="51"/>
      <c r="M267" s="51" t="s">
        <v>117</v>
      </c>
      <c r="N267" s="36" t="s">
        <v>3</v>
      </c>
      <c r="O267" s="51"/>
      <c r="P267" s="51" t="s">
        <v>53</v>
      </c>
      <c r="Q267" s="37">
        <v>42095</v>
      </c>
      <c r="R267" s="37">
        <v>42460</v>
      </c>
      <c r="S267" s="35" t="s">
        <v>96</v>
      </c>
      <c r="T267" s="38" t="s">
        <v>53</v>
      </c>
      <c r="U267" s="39"/>
      <c r="V267" s="131"/>
      <c r="W267" s="38">
        <v>0</v>
      </c>
      <c r="X267" s="38">
        <v>0</v>
      </c>
      <c r="Y267" s="133">
        <v>0</v>
      </c>
      <c r="Z267" s="133">
        <v>0</v>
      </c>
      <c r="AA267" s="91">
        <v>0</v>
      </c>
      <c r="AB267" s="108">
        <v>0</v>
      </c>
      <c r="AC267" s="91">
        <v>0</v>
      </c>
      <c r="AD267" s="108">
        <v>0</v>
      </c>
      <c r="AE267" s="91">
        <v>0</v>
      </c>
      <c r="AF267" s="108">
        <v>0</v>
      </c>
      <c r="AG267" s="204">
        <v>0</v>
      </c>
    </row>
    <row r="268" spans="1:33" s="103" customFormat="1" ht="90" customHeight="1">
      <c r="A268" s="102">
        <f t="shared" si="45"/>
        <v>247</v>
      </c>
      <c r="B268" s="52"/>
      <c r="C268" s="51" t="s">
        <v>598</v>
      </c>
      <c r="D268" s="35" t="s">
        <v>73</v>
      </c>
      <c r="E268" s="35">
        <v>800034157</v>
      </c>
      <c r="F268" s="36" t="s">
        <v>67</v>
      </c>
      <c r="G268" s="35" t="s">
        <v>48</v>
      </c>
      <c r="H268" s="51" t="s">
        <v>68</v>
      </c>
      <c r="I268" s="34" t="s">
        <v>90</v>
      </c>
      <c r="J268" s="52" t="s">
        <v>70</v>
      </c>
      <c r="K268" s="52" t="s">
        <v>60</v>
      </c>
      <c r="L268" s="51"/>
      <c r="M268" s="51" t="s">
        <v>176</v>
      </c>
      <c r="N268" s="36" t="s">
        <v>50</v>
      </c>
      <c r="O268" s="51"/>
      <c r="P268" s="51" t="s">
        <v>599</v>
      </c>
      <c r="Q268" s="37">
        <v>42095</v>
      </c>
      <c r="R268" s="37">
        <v>42460</v>
      </c>
      <c r="S268" s="35" t="s">
        <v>96</v>
      </c>
      <c r="T268" s="39" t="s">
        <v>53</v>
      </c>
      <c r="U268" s="39"/>
      <c r="V268" s="131"/>
      <c r="W268" s="38">
        <v>0</v>
      </c>
      <c r="X268" s="38">
        <v>0</v>
      </c>
      <c r="Y268" s="106">
        <v>0</v>
      </c>
      <c r="Z268" s="38">
        <v>0</v>
      </c>
      <c r="AA268" s="107">
        <v>0</v>
      </c>
      <c r="AB268" s="91">
        <v>0</v>
      </c>
      <c r="AC268" s="107">
        <f>+AA268*1.15</f>
        <v>0</v>
      </c>
      <c r="AD268" s="91">
        <v>0</v>
      </c>
      <c r="AE268" s="107">
        <f>+AC268*1.15</f>
        <v>0</v>
      </c>
      <c r="AF268" s="91">
        <v>0</v>
      </c>
      <c r="AG268" s="205">
        <f>+AE268*1.15</f>
        <v>0</v>
      </c>
    </row>
    <row r="269" spans="1:33" s="103" customFormat="1" ht="90" customHeight="1">
      <c r="A269" s="102">
        <f t="shared" si="45"/>
        <v>248</v>
      </c>
      <c r="B269" s="52"/>
      <c r="C269" s="51" t="s">
        <v>600</v>
      </c>
      <c r="D269" s="35" t="s">
        <v>46</v>
      </c>
      <c r="E269" s="35" t="s">
        <v>46</v>
      </c>
      <c r="F269" s="36" t="s">
        <v>47</v>
      </c>
      <c r="G269" s="35" t="s">
        <v>48</v>
      </c>
      <c r="H269" s="51" t="s">
        <v>46</v>
      </c>
      <c r="I269" s="34" t="s">
        <v>46</v>
      </c>
      <c r="J269" s="52" t="s">
        <v>46</v>
      </c>
      <c r="K269" s="52"/>
      <c r="L269" s="51" t="s">
        <v>180</v>
      </c>
      <c r="M269" s="51" t="s">
        <v>601</v>
      </c>
      <c r="N269" s="36" t="s">
        <v>50</v>
      </c>
      <c r="O269" s="51"/>
      <c r="P269" s="51" t="s">
        <v>602</v>
      </c>
      <c r="Q269" s="37" t="s">
        <v>339</v>
      </c>
      <c r="R269" s="37" t="s">
        <v>339</v>
      </c>
      <c r="S269" s="35" t="s">
        <v>603</v>
      </c>
      <c r="T269" s="38" t="s">
        <v>339</v>
      </c>
      <c r="U269" s="39"/>
      <c r="V269" s="131"/>
      <c r="W269" s="38">
        <v>70934718</v>
      </c>
      <c r="X269" s="38">
        <v>0</v>
      </c>
      <c r="Y269" s="38">
        <v>0</v>
      </c>
      <c r="Z269" s="38">
        <v>0</v>
      </c>
      <c r="AA269" s="91">
        <v>0</v>
      </c>
      <c r="AB269" s="91">
        <v>0</v>
      </c>
      <c r="AC269" s="91">
        <v>0</v>
      </c>
      <c r="AD269" s="91">
        <v>0</v>
      </c>
      <c r="AE269" s="91">
        <v>0</v>
      </c>
      <c r="AF269" s="91">
        <v>0</v>
      </c>
      <c r="AG269" s="204">
        <v>0</v>
      </c>
    </row>
    <row r="270" spans="1:33" s="103" customFormat="1" ht="90" customHeight="1">
      <c r="A270" s="102">
        <f t="shared" si="45"/>
        <v>249</v>
      </c>
      <c r="B270" s="52"/>
      <c r="C270" s="51" t="s">
        <v>604</v>
      </c>
      <c r="D270" s="35" t="s">
        <v>46</v>
      </c>
      <c r="E270" s="35" t="s">
        <v>46</v>
      </c>
      <c r="F270" s="36" t="s">
        <v>67</v>
      </c>
      <c r="G270" s="35" t="s">
        <v>48</v>
      </c>
      <c r="H270" s="51" t="s">
        <v>46</v>
      </c>
      <c r="I270" s="34" t="s">
        <v>46</v>
      </c>
      <c r="J270" s="52" t="s">
        <v>46</v>
      </c>
      <c r="K270" s="52"/>
      <c r="L270" s="51" t="s">
        <v>262</v>
      </c>
      <c r="M270" s="51" t="s">
        <v>298</v>
      </c>
      <c r="N270" s="36" t="s">
        <v>50</v>
      </c>
      <c r="O270" s="51"/>
      <c r="P270" s="51" t="s">
        <v>605</v>
      </c>
      <c r="Q270" s="37">
        <v>41730</v>
      </c>
      <c r="R270" s="37">
        <v>43920</v>
      </c>
      <c r="S270" s="35" t="s">
        <v>52</v>
      </c>
      <c r="T270" s="38">
        <v>30000000</v>
      </c>
      <c r="U270" s="39"/>
      <c r="V270" s="131"/>
      <c r="W270" s="38">
        <v>3999998</v>
      </c>
      <c r="X270" s="38">
        <v>3999999</v>
      </c>
      <c r="Y270" s="132">
        <v>15000000</v>
      </c>
      <c r="Z270" s="38">
        <f>+Y270*1.07</f>
        <v>16050000.000000002</v>
      </c>
      <c r="AA270" s="91">
        <f>+Z270*1.07</f>
        <v>17173500.000000004</v>
      </c>
      <c r="AB270" s="91">
        <f t="shared" ref="AB270:AF270" si="50">+AA270*1.07</f>
        <v>18375645.000000004</v>
      </c>
      <c r="AC270" s="91">
        <f t="shared" si="50"/>
        <v>19661940.150000006</v>
      </c>
      <c r="AD270" s="91">
        <f t="shared" si="50"/>
        <v>21038275.960500009</v>
      </c>
      <c r="AE270" s="91">
        <f t="shared" si="50"/>
        <v>22510955.27773501</v>
      </c>
      <c r="AF270" s="91">
        <f t="shared" si="50"/>
        <v>24086722.147176463</v>
      </c>
      <c r="AG270" s="204">
        <f>+AF270*1.07</f>
        <v>25772792.697478816</v>
      </c>
    </row>
    <row r="271" spans="1:33" s="103" customFormat="1" ht="90" customHeight="1">
      <c r="A271" s="102">
        <f t="shared" si="45"/>
        <v>250</v>
      </c>
      <c r="B271" s="52"/>
      <c r="C271" s="51" t="s">
        <v>606</v>
      </c>
      <c r="D271" s="35" t="s">
        <v>96</v>
      </c>
      <c r="E271" s="35">
        <v>800024521</v>
      </c>
      <c r="F271" s="36" t="s">
        <v>67</v>
      </c>
      <c r="G271" s="35" t="s">
        <v>48</v>
      </c>
      <c r="H271" s="51" t="s">
        <v>68</v>
      </c>
      <c r="I271" s="34" t="s">
        <v>84</v>
      </c>
      <c r="J271" s="52" t="s">
        <v>84</v>
      </c>
      <c r="K271" s="52"/>
      <c r="L271" s="51" t="s">
        <v>49</v>
      </c>
      <c r="M271" s="51" t="s">
        <v>100</v>
      </c>
      <c r="N271" s="36" t="s">
        <v>50</v>
      </c>
      <c r="O271" s="51"/>
      <c r="P271" s="51" t="s">
        <v>572</v>
      </c>
      <c r="Q271" s="37"/>
      <c r="R271" s="37"/>
      <c r="S271" s="35" t="s">
        <v>96</v>
      </c>
      <c r="T271" s="38">
        <f>+(2097122)*1.23*1.07</f>
        <v>2760022.2642000001</v>
      </c>
      <c r="U271" s="39"/>
      <c r="V271" s="131"/>
      <c r="W271" s="38">
        <v>0</v>
      </c>
      <c r="X271" s="38">
        <v>0</v>
      </c>
      <c r="Y271" s="38">
        <v>0</v>
      </c>
      <c r="Z271" s="38">
        <v>0</v>
      </c>
      <c r="AA271" s="91">
        <v>0</v>
      </c>
      <c r="AB271" s="91">
        <v>0</v>
      </c>
      <c r="AC271" s="91">
        <v>0</v>
      </c>
      <c r="AD271" s="91">
        <f>+T271*0.235*0.3</f>
        <v>194581.56962610001</v>
      </c>
      <c r="AE271" s="91">
        <f>+T271-AF271-AF271</f>
        <v>2428819.5924960002</v>
      </c>
      <c r="AF271" s="91">
        <f>+T271*0.06</f>
        <v>165601.33585199999</v>
      </c>
      <c r="AG271" s="204">
        <v>0</v>
      </c>
    </row>
    <row r="272" spans="1:33" s="103" customFormat="1" ht="90" customHeight="1">
      <c r="A272" s="102">
        <f t="shared" si="45"/>
        <v>251</v>
      </c>
      <c r="B272" s="52"/>
      <c r="C272" s="51" t="s">
        <v>569</v>
      </c>
      <c r="D272" s="35" t="s">
        <v>65</v>
      </c>
      <c r="E272" s="35">
        <v>800008987</v>
      </c>
      <c r="F272" s="36" t="s">
        <v>67</v>
      </c>
      <c r="G272" s="35" t="s">
        <v>48</v>
      </c>
      <c r="H272" s="51" t="s">
        <v>68</v>
      </c>
      <c r="I272" s="34" t="s">
        <v>257</v>
      </c>
      <c r="J272" s="52" t="s">
        <v>84</v>
      </c>
      <c r="K272" s="52"/>
      <c r="L272" s="51" t="s">
        <v>49</v>
      </c>
      <c r="M272" s="51" t="s">
        <v>100</v>
      </c>
      <c r="N272" s="36" t="s">
        <v>50</v>
      </c>
      <c r="O272" s="51"/>
      <c r="P272" s="51" t="s">
        <v>607</v>
      </c>
      <c r="Q272" s="37"/>
      <c r="R272" s="37"/>
      <c r="S272" s="35" t="s">
        <v>96</v>
      </c>
      <c r="T272" s="38">
        <f>+(1714473)*1.23*1.07</f>
        <v>2256417.9153</v>
      </c>
      <c r="U272" s="39"/>
      <c r="V272" s="131"/>
      <c r="W272" s="38">
        <v>0</v>
      </c>
      <c r="X272" s="38">
        <v>0</v>
      </c>
      <c r="Y272" s="38">
        <v>0</v>
      </c>
      <c r="Z272" s="38">
        <v>0</v>
      </c>
      <c r="AA272" s="91">
        <f>+T272*0.235*0.3</f>
        <v>159077.46302865</v>
      </c>
      <c r="AB272" s="91">
        <f>+T272-AA272</f>
        <v>2097340.4522713502</v>
      </c>
      <c r="AC272" s="91">
        <v>0</v>
      </c>
      <c r="AD272" s="91">
        <v>0</v>
      </c>
      <c r="AE272" s="91">
        <v>0</v>
      </c>
      <c r="AF272" s="91">
        <v>0</v>
      </c>
      <c r="AG272" s="204">
        <v>0</v>
      </c>
    </row>
    <row r="273" spans="1:33" s="103" customFormat="1" ht="90" customHeight="1">
      <c r="A273" s="102">
        <f t="shared" si="45"/>
        <v>252</v>
      </c>
      <c r="B273" s="52"/>
      <c r="C273" s="51" t="s">
        <v>608</v>
      </c>
      <c r="D273" s="35" t="s">
        <v>65</v>
      </c>
      <c r="E273" s="35">
        <v>800009381</v>
      </c>
      <c r="F273" s="36" t="s">
        <v>67</v>
      </c>
      <c r="G273" s="35" t="s">
        <v>48</v>
      </c>
      <c r="H273" s="51" t="s">
        <v>68</v>
      </c>
      <c r="I273" s="34" t="s">
        <v>84</v>
      </c>
      <c r="J273" s="52" t="s">
        <v>84</v>
      </c>
      <c r="K273" s="52"/>
      <c r="L273" s="51" t="s">
        <v>49</v>
      </c>
      <c r="M273" s="51" t="s">
        <v>100</v>
      </c>
      <c r="N273" s="36" t="s">
        <v>50</v>
      </c>
      <c r="O273" s="51"/>
      <c r="P273" s="51" t="s">
        <v>572</v>
      </c>
      <c r="Q273" s="37"/>
      <c r="R273" s="37"/>
      <c r="S273" s="35" t="s">
        <v>96</v>
      </c>
      <c r="T273" s="38">
        <f t="shared" ref="T273:T275" si="51">+(2097122)*1.23*1.07</f>
        <v>2760022.2642000001</v>
      </c>
      <c r="U273" s="39"/>
      <c r="V273" s="131"/>
      <c r="W273" s="38">
        <v>0</v>
      </c>
      <c r="X273" s="38">
        <v>0</v>
      </c>
      <c r="Y273" s="38">
        <v>0</v>
      </c>
      <c r="Z273" s="38">
        <v>0</v>
      </c>
      <c r="AA273" s="91">
        <f>+T273*0.235*0.3</f>
        <v>194581.56962610001</v>
      </c>
      <c r="AB273" s="91">
        <f>+T273-AA273</f>
        <v>2565440.6945739002</v>
      </c>
      <c r="AC273" s="91">
        <v>0</v>
      </c>
      <c r="AD273" s="91">
        <v>0</v>
      </c>
      <c r="AE273" s="91">
        <v>0</v>
      </c>
      <c r="AF273" s="91">
        <v>0</v>
      </c>
      <c r="AG273" s="204">
        <v>0</v>
      </c>
    </row>
    <row r="274" spans="1:33" s="103" customFormat="1" ht="90" customHeight="1">
      <c r="A274" s="102">
        <f t="shared" si="45"/>
        <v>253</v>
      </c>
      <c r="B274" s="52"/>
      <c r="C274" s="51" t="s">
        <v>609</v>
      </c>
      <c r="D274" s="35" t="s">
        <v>65</v>
      </c>
      <c r="E274" s="35">
        <v>800007195</v>
      </c>
      <c r="F274" s="36" t="s">
        <v>67</v>
      </c>
      <c r="G274" s="35" t="s">
        <v>48</v>
      </c>
      <c r="H274" s="51" t="s">
        <v>68</v>
      </c>
      <c r="I274" s="34" t="s">
        <v>253</v>
      </c>
      <c r="J274" s="52" t="s">
        <v>84</v>
      </c>
      <c r="K274" s="52"/>
      <c r="L274" s="51" t="s">
        <v>49</v>
      </c>
      <c r="M274" s="51" t="s">
        <v>100</v>
      </c>
      <c r="N274" s="36" t="s">
        <v>50</v>
      </c>
      <c r="O274" s="51"/>
      <c r="P274" s="51" t="s">
        <v>610</v>
      </c>
      <c r="Q274" s="37"/>
      <c r="R274" s="37"/>
      <c r="S274" s="35" t="s">
        <v>96</v>
      </c>
      <c r="T274" s="38">
        <f>+(16*((1141850+1714473+2097122)/9)+3658606+9*(1022001/14))*1.23*1.07</f>
        <v>17269510.283997621</v>
      </c>
      <c r="U274" s="39"/>
      <c r="V274" s="131"/>
      <c r="W274" s="38">
        <v>0</v>
      </c>
      <c r="X274" s="38">
        <v>0</v>
      </c>
      <c r="Y274" s="38">
        <v>0</v>
      </c>
      <c r="Z274" s="38">
        <f>+T274*0.235*0.3</f>
        <v>1217500.4750218322</v>
      </c>
      <c r="AA274" s="91">
        <f>+T274-Z274-AB274</f>
        <v>15015839.191935932</v>
      </c>
      <c r="AB274" s="91">
        <f>+T274*0.06</f>
        <v>1036170.6170398572</v>
      </c>
      <c r="AC274" s="91">
        <v>0</v>
      </c>
      <c r="AD274" s="91">
        <f>+T274*0.01</f>
        <v>172695.10283997623</v>
      </c>
      <c r="AE274" s="91">
        <v>0</v>
      </c>
      <c r="AF274" s="91">
        <f>+AD274*1.15</f>
        <v>198599.36826597265</v>
      </c>
      <c r="AG274" s="204">
        <v>0</v>
      </c>
    </row>
    <row r="275" spans="1:33" s="103" customFormat="1" ht="90" customHeight="1">
      <c r="A275" s="102">
        <f t="shared" si="45"/>
        <v>254</v>
      </c>
      <c r="B275" s="52"/>
      <c r="C275" s="51" t="s">
        <v>611</v>
      </c>
      <c r="D275" s="35" t="s">
        <v>96</v>
      </c>
      <c r="E275" s="35">
        <v>800013755</v>
      </c>
      <c r="F275" s="36" t="s">
        <v>67</v>
      </c>
      <c r="G275" s="35" t="s">
        <v>48</v>
      </c>
      <c r="H275" s="51" t="s">
        <v>68</v>
      </c>
      <c r="I275" s="34" t="s">
        <v>69</v>
      </c>
      <c r="J275" s="52" t="s">
        <v>70</v>
      </c>
      <c r="K275" s="52" t="s">
        <v>60</v>
      </c>
      <c r="L275" s="51" t="s">
        <v>49</v>
      </c>
      <c r="M275" s="51" t="s">
        <v>100</v>
      </c>
      <c r="N275" s="36" t="s">
        <v>50</v>
      </c>
      <c r="O275" s="51"/>
      <c r="P275" s="51" t="s">
        <v>572</v>
      </c>
      <c r="Q275" s="37"/>
      <c r="R275" s="37"/>
      <c r="S275" s="35" t="s">
        <v>96</v>
      </c>
      <c r="T275" s="38">
        <f t="shared" si="51"/>
        <v>2760022.2642000001</v>
      </c>
      <c r="U275" s="39"/>
      <c r="V275" s="131"/>
      <c r="W275" s="38">
        <v>0</v>
      </c>
      <c r="X275" s="38">
        <v>0</v>
      </c>
      <c r="Y275" s="38">
        <v>0</v>
      </c>
      <c r="Z275" s="38">
        <v>2300000</v>
      </c>
      <c r="AA275" s="91">
        <v>24600000</v>
      </c>
      <c r="AB275" s="91">
        <v>15100000</v>
      </c>
      <c r="AC275" s="91">
        <v>0</v>
      </c>
      <c r="AD275" s="91">
        <f>+T275*0.01/1.23</f>
        <v>22439.205400000003</v>
      </c>
      <c r="AE275" s="91">
        <v>0</v>
      </c>
      <c r="AF275" s="91">
        <f>+AD275*1.15</f>
        <v>25805.086210000001</v>
      </c>
      <c r="AG275" s="204">
        <v>0</v>
      </c>
    </row>
    <row r="276" spans="1:33" s="103" customFormat="1" ht="90" customHeight="1">
      <c r="A276" s="102">
        <f t="shared" si="45"/>
        <v>255</v>
      </c>
      <c r="B276" s="52"/>
      <c r="C276" s="51" t="s">
        <v>612</v>
      </c>
      <c r="D276" s="35" t="s">
        <v>65</v>
      </c>
      <c r="E276" s="35">
        <v>800003632</v>
      </c>
      <c r="F276" s="36" t="s">
        <v>67</v>
      </c>
      <c r="G276" s="35" t="s">
        <v>48</v>
      </c>
      <c r="H276" s="51" t="s">
        <v>68</v>
      </c>
      <c r="I276" s="34" t="s">
        <v>83</v>
      </c>
      <c r="J276" s="52" t="s">
        <v>84</v>
      </c>
      <c r="K276" s="52"/>
      <c r="L276" s="51" t="s">
        <v>49</v>
      </c>
      <c r="M276" s="51" t="s">
        <v>100</v>
      </c>
      <c r="N276" s="36" t="s">
        <v>50</v>
      </c>
      <c r="O276" s="51"/>
      <c r="P276" s="51" t="s">
        <v>613</v>
      </c>
      <c r="Q276" s="37"/>
      <c r="R276" s="37"/>
      <c r="S276" s="35" t="s">
        <v>96</v>
      </c>
      <c r="T276" s="38">
        <f>+(2097122*3)*1.23*1.07</f>
        <v>8280066.7926000003</v>
      </c>
      <c r="U276" s="39"/>
      <c r="V276" s="131"/>
      <c r="W276" s="38">
        <v>0</v>
      </c>
      <c r="X276" s="38">
        <v>0</v>
      </c>
      <c r="Y276" s="38">
        <v>0</v>
      </c>
      <c r="Z276" s="38">
        <v>0</v>
      </c>
      <c r="AA276" s="91">
        <v>0</v>
      </c>
      <c r="AB276" s="91">
        <f>+T276*0.235*0.3</f>
        <v>583744.70887829992</v>
      </c>
      <c r="AC276" s="91">
        <f>+T276-AB276-AD276</f>
        <v>7199518.0761657003</v>
      </c>
      <c r="AD276" s="91">
        <f>+T276*0.06</f>
        <v>496804.00755600003</v>
      </c>
      <c r="AE276" s="91">
        <v>0</v>
      </c>
      <c r="AF276" s="91">
        <f>+T276*0.01</f>
        <v>82800.667926000009</v>
      </c>
      <c r="AG276" s="204">
        <v>0</v>
      </c>
    </row>
    <row r="277" spans="1:33" s="103" customFormat="1" ht="90" customHeight="1">
      <c r="A277" s="102">
        <f t="shared" si="45"/>
        <v>256</v>
      </c>
      <c r="B277" s="52"/>
      <c r="C277" s="51" t="s">
        <v>614</v>
      </c>
      <c r="D277" s="35" t="s">
        <v>65</v>
      </c>
      <c r="E277" s="35">
        <v>800011536</v>
      </c>
      <c r="F277" s="36" t="s">
        <v>67</v>
      </c>
      <c r="G277" s="35" t="s">
        <v>48</v>
      </c>
      <c r="H277" s="51" t="s">
        <v>68</v>
      </c>
      <c r="I277" s="34" t="s">
        <v>90</v>
      </c>
      <c r="J277" s="52" t="s">
        <v>84</v>
      </c>
      <c r="K277" s="52"/>
      <c r="L277" s="51" t="s">
        <v>49</v>
      </c>
      <c r="M277" s="51" t="s">
        <v>100</v>
      </c>
      <c r="N277" s="36" t="s">
        <v>50</v>
      </c>
      <c r="O277" s="51"/>
      <c r="P277" s="51" t="s">
        <v>615</v>
      </c>
      <c r="Q277" s="37"/>
      <c r="R277" s="37"/>
      <c r="S277" s="35" t="s">
        <v>96</v>
      </c>
      <c r="T277" s="38">
        <f>+(1714473+1141850)*1.23*1.07</f>
        <v>3759206.7003000001</v>
      </c>
      <c r="U277" s="39"/>
      <c r="V277" s="131"/>
      <c r="W277" s="38">
        <v>0</v>
      </c>
      <c r="X277" s="38">
        <v>0</v>
      </c>
      <c r="Y277" s="38">
        <v>0</v>
      </c>
      <c r="Z277" s="38">
        <v>0</v>
      </c>
      <c r="AA277" s="91">
        <v>0</v>
      </c>
      <c r="AB277" s="91">
        <f>+T277*0.235*0.3</f>
        <v>265024.07237114996</v>
      </c>
      <c r="AC277" s="91">
        <f>+T277-AB277</f>
        <v>3494182.6279288502</v>
      </c>
      <c r="AD277" s="91">
        <v>0</v>
      </c>
      <c r="AE277" s="91">
        <f>+T277*0.01</f>
        <v>37592.067003000004</v>
      </c>
      <c r="AF277" s="91">
        <v>0</v>
      </c>
      <c r="AG277" s="204">
        <f>+AE277*1.15</f>
        <v>43230.87705345</v>
      </c>
    </row>
    <row r="278" spans="1:33" s="103" customFormat="1" ht="90" customHeight="1">
      <c r="A278" s="102">
        <f t="shared" si="45"/>
        <v>257</v>
      </c>
      <c r="B278" s="52"/>
      <c r="C278" s="51" t="s">
        <v>616</v>
      </c>
      <c r="D278" s="35" t="s">
        <v>65</v>
      </c>
      <c r="E278" s="35">
        <v>800019968</v>
      </c>
      <c r="F278" s="36" t="s">
        <v>67</v>
      </c>
      <c r="G278" s="35" t="s">
        <v>48</v>
      </c>
      <c r="H278" s="51" t="s">
        <v>68</v>
      </c>
      <c r="I278" s="34" t="s">
        <v>579</v>
      </c>
      <c r="J278" s="52" t="s">
        <v>84</v>
      </c>
      <c r="K278" s="52"/>
      <c r="L278" s="51" t="s">
        <v>49</v>
      </c>
      <c r="M278" s="51" t="s">
        <v>100</v>
      </c>
      <c r="N278" s="36" t="s">
        <v>50</v>
      </c>
      <c r="O278" s="51"/>
      <c r="P278" s="51" t="s">
        <v>617</v>
      </c>
      <c r="Q278" s="37"/>
      <c r="R278" s="37"/>
      <c r="S278" s="35" t="s">
        <v>96</v>
      </c>
      <c r="T278" s="38">
        <f>+(2097122*3+1350000)*1.23*1.07</f>
        <v>10056801.7926</v>
      </c>
      <c r="U278" s="39"/>
      <c r="V278" s="131"/>
      <c r="W278" s="38">
        <v>0</v>
      </c>
      <c r="X278" s="38">
        <v>0</v>
      </c>
      <c r="Y278" s="38">
        <v>0</v>
      </c>
      <c r="Z278" s="38">
        <f>+T278*0.235*0.3</f>
        <v>709004.52637829992</v>
      </c>
      <c r="AA278" s="91">
        <f>+T278-Z278-AB278</f>
        <v>8744389.1586656999</v>
      </c>
      <c r="AB278" s="91">
        <f>+T278*0.06</f>
        <v>603408.107556</v>
      </c>
      <c r="AC278" s="91">
        <v>0</v>
      </c>
      <c r="AD278" s="91">
        <f>+T278*0.01</f>
        <v>100568.017926</v>
      </c>
      <c r="AE278" s="91">
        <v>0</v>
      </c>
      <c r="AF278" s="91">
        <f>+AD278*1.15</f>
        <v>115653.2206149</v>
      </c>
      <c r="AG278" s="204">
        <v>0</v>
      </c>
    </row>
    <row r="279" spans="1:33" s="103" customFormat="1" ht="90" customHeight="1">
      <c r="A279" s="102">
        <f t="shared" si="45"/>
        <v>258</v>
      </c>
      <c r="B279" s="52"/>
      <c r="C279" s="51" t="s">
        <v>618</v>
      </c>
      <c r="D279" s="35" t="s">
        <v>96</v>
      </c>
      <c r="E279" s="35">
        <v>800010835</v>
      </c>
      <c r="F279" s="36" t="s">
        <v>67</v>
      </c>
      <c r="G279" s="35" t="s">
        <v>48</v>
      </c>
      <c r="H279" s="51" t="s">
        <v>68</v>
      </c>
      <c r="I279" s="34" t="s">
        <v>619</v>
      </c>
      <c r="J279" s="52" t="s">
        <v>84</v>
      </c>
      <c r="K279" s="52"/>
      <c r="L279" s="51" t="s">
        <v>49</v>
      </c>
      <c r="M279" s="51" t="s">
        <v>100</v>
      </c>
      <c r="N279" s="36" t="s">
        <v>50</v>
      </c>
      <c r="O279" s="51"/>
      <c r="P279" s="51" t="s">
        <v>620</v>
      </c>
      <c r="Q279" s="37"/>
      <c r="R279" s="37"/>
      <c r="S279" s="35" t="s">
        <v>52</v>
      </c>
      <c r="T279" s="38">
        <f>+(12*1022001/14)*1.23*1.07</f>
        <v>1152904.7280857144</v>
      </c>
      <c r="U279" s="39"/>
      <c r="V279" s="131"/>
      <c r="W279" s="38">
        <v>0</v>
      </c>
      <c r="X279" s="38">
        <f>+T279</f>
        <v>1152904.7280857144</v>
      </c>
      <c r="Y279" s="38">
        <v>0</v>
      </c>
      <c r="Z279" s="38">
        <v>0</v>
      </c>
      <c r="AA279" s="91">
        <v>0</v>
      </c>
      <c r="AB279" s="91">
        <v>0</v>
      </c>
      <c r="AC279" s="91">
        <v>0</v>
      </c>
      <c r="AD279" s="91">
        <v>0</v>
      </c>
      <c r="AE279" s="91">
        <v>0</v>
      </c>
      <c r="AF279" s="91">
        <v>0</v>
      </c>
      <c r="AG279" s="204">
        <v>0</v>
      </c>
    </row>
    <row r="280" spans="1:33" s="103" customFormat="1" ht="90" customHeight="1">
      <c r="A280" s="102">
        <f t="shared" ref="A280:A343" si="52">+A279+1</f>
        <v>259</v>
      </c>
      <c r="B280" s="52"/>
      <c r="C280" s="51" t="s">
        <v>623</v>
      </c>
      <c r="D280" s="35" t="s">
        <v>73</v>
      </c>
      <c r="E280" s="35">
        <v>800013680</v>
      </c>
      <c r="F280" s="36" t="s">
        <v>67</v>
      </c>
      <c r="G280" s="35" t="s">
        <v>48</v>
      </c>
      <c r="H280" s="51" t="s">
        <v>68</v>
      </c>
      <c r="I280" s="34" t="s">
        <v>69</v>
      </c>
      <c r="J280" s="52" t="s">
        <v>70</v>
      </c>
      <c r="K280" s="52" t="s">
        <v>60</v>
      </c>
      <c r="L280" s="51" t="s">
        <v>49</v>
      </c>
      <c r="M280" s="51" t="s">
        <v>100</v>
      </c>
      <c r="N280" s="36" t="s">
        <v>50</v>
      </c>
      <c r="O280" s="51"/>
      <c r="P280" s="51" t="s">
        <v>594</v>
      </c>
      <c r="Q280" s="37"/>
      <c r="R280" s="37"/>
      <c r="S280" s="35" t="s">
        <v>96</v>
      </c>
      <c r="T280" s="38">
        <f>+(1714473+1141850)*1.23*1.07</f>
        <v>3759206.7003000001</v>
      </c>
      <c r="U280" s="39"/>
      <c r="V280" s="131"/>
      <c r="W280" s="38">
        <v>0</v>
      </c>
      <c r="X280" s="38">
        <v>0</v>
      </c>
      <c r="Y280" s="38">
        <v>0</v>
      </c>
      <c r="Z280" s="38">
        <v>0</v>
      </c>
      <c r="AA280" s="91">
        <v>0</v>
      </c>
      <c r="AB280" s="91">
        <f>+T280*0.235*0.3</f>
        <v>265024.07237114996</v>
      </c>
      <c r="AC280" s="91">
        <f>+T280-AB280</f>
        <v>3494182.6279288502</v>
      </c>
      <c r="AD280" s="91">
        <v>0</v>
      </c>
      <c r="AE280" s="91">
        <f>+T280*0.01</f>
        <v>37592.067003000004</v>
      </c>
      <c r="AF280" s="91">
        <v>0</v>
      </c>
      <c r="AG280" s="204">
        <f>+AE280*1.15</f>
        <v>43230.87705345</v>
      </c>
    </row>
    <row r="281" spans="1:33" s="103" customFormat="1" ht="90" customHeight="1">
      <c r="A281" s="102">
        <f t="shared" si="52"/>
        <v>260</v>
      </c>
      <c r="B281" s="52"/>
      <c r="C281" s="51" t="s">
        <v>624</v>
      </c>
      <c r="D281" s="35" t="s">
        <v>65</v>
      </c>
      <c r="E281" s="35">
        <v>800023119</v>
      </c>
      <c r="F281" s="36" t="s">
        <v>67</v>
      </c>
      <c r="G281" s="35" t="s">
        <v>48</v>
      </c>
      <c r="H281" s="51" t="s">
        <v>68</v>
      </c>
      <c r="I281" s="34" t="s">
        <v>327</v>
      </c>
      <c r="J281" s="52" t="s">
        <v>84</v>
      </c>
      <c r="K281" s="52"/>
      <c r="L281" s="51" t="s">
        <v>49</v>
      </c>
      <c r="M281" s="51" t="s">
        <v>100</v>
      </c>
      <c r="N281" s="36" t="s">
        <v>50</v>
      </c>
      <c r="O281" s="51"/>
      <c r="P281" s="51" t="s">
        <v>625</v>
      </c>
      <c r="Q281" s="37"/>
      <c r="R281" s="37"/>
      <c r="S281" s="35" t="s">
        <v>96</v>
      </c>
      <c r="T281" s="38">
        <f>+(23*((1141850+1714473+2097122)/9))*1.23*1.07</f>
        <v>16660251.798166666</v>
      </c>
      <c r="U281" s="39"/>
      <c r="V281" s="131"/>
      <c r="W281" s="38">
        <v>0</v>
      </c>
      <c r="X281" s="38">
        <v>0</v>
      </c>
      <c r="Y281" s="38">
        <v>0</v>
      </c>
      <c r="Z281" s="38">
        <v>0</v>
      </c>
      <c r="AA281" s="91">
        <v>0</v>
      </c>
      <c r="AB281" s="91">
        <v>0</v>
      </c>
      <c r="AC281" s="91">
        <v>0</v>
      </c>
      <c r="AD281" s="91">
        <f>+T281*0.235*0.3</f>
        <v>1174547.7517707499</v>
      </c>
      <c r="AE281" s="91">
        <f>+T281-AF281-AF281</f>
        <v>14661021.582386665</v>
      </c>
      <c r="AF281" s="91">
        <f>+T281*0.06</f>
        <v>999615.10788999998</v>
      </c>
      <c r="AG281" s="204">
        <v>0</v>
      </c>
    </row>
    <row r="282" spans="1:33" s="103" customFormat="1" ht="90" customHeight="1">
      <c r="A282" s="102">
        <f t="shared" si="52"/>
        <v>261</v>
      </c>
      <c r="B282" s="52"/>
      <c r="C282" s="51" t="s">
        <v>626</v>
      </c>
      <c r="D282" s="35" t="s">
        <v>65</v>
      </c>
      <c r="E282" s="35">
        <v>800005686</v>
      </c>
      <c r="F282" s="36" t="s">
        <v>67</v>
      </c>
      <c r="G282" s="35" t="s">
        <v>48</v>
      </c>
      <c r="H282" s="51" t="s">
        <v>68</v>
      </c>
      <c r="I282" s="34" t="s">
        <v>410</v>
      </c>
      <c r="J282" s="52" t="s">
        <v>70</v>
      </c>
      <c r="K282" s="52" t="s">
        <v>60</v>
      </c>
      <c r="L282" s="51" t="s">
        <v>49</v>
      </c>
      <c r="M282" s="51" t="s">
        <v>100</v>
      </c>
      <c r="N282" s="36" t="s">
        <v>50</v>
      </c>
      <c r="O282" s="51"/>
      <c r="P282" s="51" t="s">
        <v>620</v>
      </c>
      <c r="Q282" s="37"/>
      <c r="R282" s="37"/>
      <c r="S282" s="35" t="s">
        <v>52</v>
      </c>
      <c r="T282" s="38">
        <f>+(12*1022001/14)*1.23*1.07</f>
        <v>1152904.7280857144</v>
      </c>
      <c r="U282" s="39"/>
      <c r="V282" s="131"/>
      <c r="W282" s="38">
        <v>0</v>
      </c>
      <c r="X282" s="38">
        <f>+T282</f>
        <v>1152904.7280857144</v>
      </c>
      <c r="Y282" s="38">
        <v>0</v>
      </c>
      <c r="Z282" s="38">
        <v>0</v>
      </c>
      <c r="AA282" s="91">
        <v>0</v>
      </c>
      <c r="AB282" s="91">
        <v>0</v>
      </c>
      <c r="AC282" s="91">
        <v>0</v>
      </c>
      <c r="AD282" s="91">
        <v>0</v>
      </c>
      <c r="AE282" s="91">
        <v>0</v>
      </c>
      <c r="AF282" s="91">
        <v>0</v>
      </c>
      <c r="AG282" s="204">
        <v>0</v>
      </c>
    </row>
    <row r="283" spans="1:33" s="103" customFormat="1" ht="90" customHeight="1">
      <c r="A283" s="102">
        <f t="shared" si="52"/>
        <v>262</v>
      </c>
      <c r="B283" s="52"/>
      <c r="C283" s="51" t="s">
        <v>627</v>
      </c>
      <c r="D283" s="35" t="s">
        <v>65</v>
      </c>
      <c r="E283" s="35">
        <v>800004093</v>
      </c>
      <c r="F283" s="36" t="s">
        <v>67</v>
      </c>
      <c r="G283" s="35" t="s">
        <v>48</v>
      </c>
      <c r="H283" s="51" t="s">
        <v>68</v>
      </c>
      <c r="I283" s="34" t="s">
        <v>69</v>
      </c>
      <c r="J283" s="52" t="s">
        <v>70</v>
      </c>
      <c r="K283" s="52" t="s">
        <v>60</v>
      </c>
      <c r="L283" s="51" t="s">
        <v>49</v>
      </c>
      <c r="M283" s="51" t="s">
        <v>100</v>
      </c>
      <c r="N283" s="36" t="s">
        <v>50</v>
      </c>
      <c r="O283" s="51"/>
      <c r="P283" s="51" t="s">
        <v>628</v>
      </c>
      <c r="Q283" s="37"/>
      <c r="R283" s="37"/>
      <c r="S283" s="35" t="s">
        <v>96</v>
      </c>
      <c r="T283" s="38">
        <f>+(10*((1141850+1714473+2097122)/9)+3658606+1350713+1293526+4298671+28*(1022001/14)+1350000+350000+750000+150000)*1.23*1.07</f>
        <v>27308213.978133336</v>
      </c>
      <c r="U283" s="39"/>
      <c r="V283" s="131"/>
      <c r="W283" s="38">
        <v>0</v>
      </c>
      <c r="X283" s="38">
        <v>0</v>
      </c>
      <c r="Y283" s="38">
        <v>0</v>
      </c>
      <c r="Z283" s="38">
        <f>+T283*0.235*0.3</f>
        <v>1925229.0854584</v>
      </c>
      <c r="AA283" s="91">
        <f>+T283-Z283-AB283</f>
        <v>23744492.053986933</v>
      </c>
      <c r="AB283" s="91">
        <f>+T283*0.06</f>
        <v>1638492.8386880001</v>
      </c>
      <c r="AC283" s="91">
        <v>0</v>
      </c>
      <c r="AD283" s="91">
        <f>+T283*0.01</f>
        <v>273082.13978133339</v>
      </c>
      <c r="AE283" s="91">
        <v>0</v>
      </c>
      <c r="AF283" s="91">
        <f>+AD283*1.15</f>
        <v>314044.46074853337</v>
      </c>
      <c r="AG283" s="204">
        <v>0</v>
      </c>
    </row>
    <row r="284" spans="1:33" s="103" customFormat="1" ht="90" customHeight="1">
      <c r="A284" s="102">
        <f t="shared" si="52"/>
        <v>263</v>
      </c>
      <c r="B284" s="52"/>
      <c r="C284" s="51" t="s">
        <v>630</v>
      </c>
      <c r="D284" s="35" t="s">
        <v>65</v>
      </c>
      <c r="E284" s="35">
        <v>800016436</v>
      </c>
      <c r="F284" s="36" t="s">
        <v>67</v>
      </c>
      <c r="G284" s="35" t="s">
        <v>48</v>
      </c>
      <c r="H284" s="51" t="s">
        <v>68</v>
      </c>
      <c r="I284" s="34" t="s">
        <v>327</v>
      </c>
      <c r="J284" s="52" t="s">
        <v>84</v>
      </c>
      <c r="K284" s="52"/>
      <c r="L284" s="51" t="s">
        <v>49</v>
      </c>
      <c r="M284" s="51" t="s">
        <v>100</v>
      </c>
      <c r="N284" s="36" t="s">
        <v>50</v>
      </c>
      <c r="O284" s="51"/>
      <c r="P284" s="51" t="s">
        <v>631</v>
      </c>
      <c r="Q284" s="37"/>
      <c r="R284" s="37"/>
      <c r="S284" s="35" t="s">
        <v>96</v>
      </c>
      <c r="T284" s="38">
        <f>+(2097122*3)*1.23*1.07*2</f>
        <v>16560133.585200001</v>
      </c>
      <c r="U284" s="39"/>
      <c r="V284" s="131"/>
      <c r="W284" s="38">
        <v>0</v>
      </c>
      <c r="X284" s="38">
        <v>0</v>
      </c>
      <c r="Y284" s="38">
        <v>0</v>
      </c>
      <c r="Z284" s="38">
        <v>0</v>
      </c>
      <c r="AA284" s="91">
        <f>+T284*0.235*0.3</f>
        <v>1167489.4177565998</v>
      </c>
      <c r="AB284" s="91">
        <f>+T284-AA284-AC284</f>
        <v>14399036.152331401</v>
      </c>
      <c r="AC284" s="91">
        <f>+T284*0.06</f>
        <v>993608.01511200005</v>
      </c>
      <c r="AD284" s="91">
        <v>0</v>
      </c>
      <c r="AE284" s="91">
        <f>+T284*0.01</f>
        <v>165601.33585200002</v>
      </c>
      <c r="AF284" s="91">
        <v>0</v>
      </c>
      <c r="AG284" s="204">
        <f>+AE284*1.15</f>
        <v>190441.5362298</v>
      </c>
    </row>
    <row r="285" spans="1:33" s="103" customFormat="1" ht="90" customHeight="1">
      <c r="A285" s="102">
        <f t="shared" si="52"/>
        <v>264</v>
      </c>
      <c r="B285" s="52"/>
      <c r="C285" s="51" t="s">
        <v>632</v>
      </c>
      <c r="D285" s="35" t="s">
        <v>65</v>
      </c>
      <c r="E285" s="35">
        <v>800001220</v>
      </c>
      <c r="F285" s="36" t="s">
        <v>67</v>
      </c>
      <c r="G285" s="35" t="s">
        <v>48</v>
      </c>
      <c r="H285" s="51" t="s">
        <v>68</v>
      </c>
      <c r="I285" s="34" t="s">
        <v>576</v>
      </c>
      <c r="J285" s="52" t="s">
        <v>84</v>
      </c>
      <c r="K285" s="52"/>
      <c r="L285" s="51" t="s">
        <v>49</v>
      </c>
      <c r="M285" s="51" t="s">
        <v>100</v>
      </c>
      <c r="N285" s="36" t="s">
        <v>50</v>
      </c>
      <c r="O285" s="51"/>
      <c r="P285" s="51" t="s">
        <v>633</v>
      </c>
      <c r="Q285" s="37"/>
      <c r="R285" s="37"/>
      <c r="S285" s="35" t="s">
        <v>96</v>
      </c>
      <c r="T285" s="38">
        <f t="shared" ref="T285" si="53">+(2097122)*1.23*1.07</f>
        <v>2760022.2642000001</v>
      </c>
      <c r="U285" s="39"/>
      <c r="V285" s="131"/>
      <c r="W285" s="38">
        <v>0</v>
      </c>
      <c r="X285" s="38">
        <v>0</v>
      </c>
      <c r="Y285" s="38">
        <v>0</v>
      </c>
      <c r="Z285" s="38">
        <v>0</v>
      </c>
      <c r="AA285" s="91">
        <v>0</v>
      </c>
      <c r="AB285" s="91">
        <f>+T285*0.235*0.3</f>
        <v>194581.56962610001</v>
      </c>
      <c r="AC285" s="91">
        <f>+T285-AB285-AD285</f>
        <v>2399839.3587219003</v>
      </c>
      <c r="AD285" s="91">
        <f>+T285*0.06</f>
        <v>165601.33585199999</v>
      </c>
      <c r="AE285" s="91">
        <v>0</v>
      </c>
      <c r="AF285" s="91">
        <f>+T285*0.01</f>
        <v>27600.222642000001</v>
      </c>
      <c r="AG285" s="204">
        <v>0</v>
      </c>
    </row>
    <row r="286" spans="1:33" s="103" customFormat="1" ht="90" customHeight="1">
      <c r="A286" s="102">
        <f t="shared" si="52"/>
        <v>265</v>
      </c>
      <c r="B286" s="52"/>
      <c r="C286" s="51" t="s">
        <v>634</v>
      </c>
      <c r="D286" s="35" t="s">
        <v>65</v>
      </c>
      <c r="E286" s="35">
        <v>800008177</v>
      </c>
      <c r="F286" s="36" t="s">
        <v>67</v>
      </c>
      <c r="G286" s="35" t="s">
        <v>48</v>
      </c>
      <c r="H286" s="51" t="s">
        <v>68</v>
      </c>
      <c r="I286" s="34" t="s">
        <v>84</v>
      </c>
      <c r="J286" s="52" t="s">
        <v>84</v>
      </c>
      <c r="K286" s="52"/>
      <c r="L286" s="51" t="s">
        <v>61</v>
      </c>
      <c r="M286" s="51" t="s">
        <v>100</v>
      </c>
      <c r="N286" s="36" t="s">
        <v>50</v>
      </c>
      <c r="O286" s="51"/>
      <c r="P286" s="51" t="s">
        <v>1241</v>
      </c>
      <c r="Q286" s="37"/>
      <c r="R286" s="37"/>
      <c r="S286" s="35" t="s">
        <v>96</v>
      </c>
      <c r="T286" s="38">
        <f>+(1714473)*1.23*1.07+3776100</f>
        <v>6032517.9153000005</v>
      </c>
      <c r="U286" s="39"/>
      <c r="V286" s="131"/>
      <c r="W286" s="38"/>
      <c r="X286" s="38"/>
      <c r="Y286" s="38">
        <v>0</v>
      </c>
      <c r="Z286" s="38">
        <f>+T286*0.235*0.3</f>
        <v>425292.51302865002</v>
      </c>
      <c r="AA286" s="91">
        <f>+T286-Z286</f>
        <v>5607225.4022713508</v>
      </c>
      <c r="AB286" s="91">
        <v>0</v>
      </c>
      <c r="AC286" s="91">
        <f>+T286*0.01</f>
        <v>60325.179153000005</v>
      </c>
      <c r="AD286" s="91">
        <v>0</v>
      </c>
      <c r="AE286" s="91">
        <f>+AC286*1.15</f>
        <v>69373.956025949999</v>
      </c>
      <c r="AF286" s="91">
        <v>0</v>
      </c>
      <c r="AG286" s="204">
        <f>+AE286*1.15</f>
        <v>79780.049429842489</v>
      </c>
    </row>
    <row r="287" spans="1:33" s="103" customFormat="1" ht="90" customHeight="1">
      <c r="A287" s="102">
        <f t="shared" si="52"/>
        <v>266</v>
      </c>
      <c r="B287" s="52"/>
      <c r="C287" s="51" t="s">
        <v>635</v>
      </c>
      <c r="D287" s="35" t="s">
        <v>73</v>
      </c>
      <c r="E287" s="35">
        <v>800003574</v>
      </c>
      <c r="F287" s="36" t="s">
        <v>67</v>
      </c>
      <c r="G287" s="35" t="s">
        <v>48</v>
      </c>
      <c r="H287" s="51" t="s">
        <v>68</v>
      </c>
      <c r="I287" s="34" t="s">
        <v>257</v>
      </c>
      <c r="J287" s="52" t="s">
        <v>258</v>
      </c>
      <c r="K287" s="52"/>
      <c r="L287" s="51" t="s">
        <v>61</v>
      </c>
      <c r="M287" s="51" t="s">
        <v>117</v>
      </c>
      <c r="N287" s="36" t="s">
        <v>50</v>
      </c>
      <c r="O287" s="51"/>
      <c r="P287" s="51" t="s">
        <v>636</v>
      </c>
      <c r="Q287" s="37"/>
      <c r="R287" s="37"/>
      <c r="S287" s="35" t="s">
        <v>52</v>
      </c>
      <c r="T287" s="38">
        <f>+(4*1022001/14)*1.23*1.07</f>
        <v>384301.57602857146</v>
      </c>
      <c r="U287" s="39"/>
      <c r="V287" s="131"/>
      <c r="W287" s="38">
        <v>0</v>
      </c>
      <c r="X287" s="38">
        <f>+T287</f>
        <v>384301.57602857146</v>
      </c>
      <c r="Y287" s="38">
        <v>0</v>
      </c>
      <c r="Z287" s="38">
        <v>0</v>
      </c>
      <c r="AA287" s="91">
        <v>0</v>
      </c>
      <c r="AB287" s="91">
        <v>0</v>
      </c>
      <c r="AC287" s="91">
        <v>0</v>
      </c>
      <c r="AD287" s="91">
        <v>0</v>
      </c>
      <c r="AE287" s="91">
        <v>0</v>
      </c>
      <c r="AF287" s="91">
        <v>0</v>
      </c>
      <c r="AG287" s="204">
        <v>0</v>
      </c>
    </row>
    <row r="288" spans="1:33" s="103" customFormat="1" ht="90" customHeight="1">
      <c r="A288" s="102">
        <f t="shared" si="52"/>
        <v>267</v>
      </c>
      <c r="B288" s="52"/>
      <c r="C288" s="51" t="s">
        <v>637</v>
      </c>
      <c r="D288" s="35" t="s">
        <v>73</v>
      </c>
      <c r="E288" s="35">
        <v>800005710</v>
      </c>
      <c r="F288" s="36" t="s">
        <v>67</v>
      </c>
      <c r="G288" s="35" t="s">
        <v>48</v>
      </c>
      <c r="H288" s="51" t="s">
        <v>68</v>
      </c>
      <c r="I288" s="34" t="s">
        <v>257</v>
      </c>
      <c r="J288" s="52" t="s">
        <v>258</v>
      </c>
      <c r="K288" s="52"/>
      <c r="L288" s="51" t="s">
        <v>61</v>
      </c>
      <c r="M288" s="51" t="s">
        <v>117</v>
      </c>
      <c r="N288" s="36" t="s">
        <v>50</v>
      </c>
      <c r="O288" s="51"/>
      <c r="P288" s="51" t="s">
        <v>638</v>
      </c>
      <c r="Q288" s="37"/>
      <c r="R288" s="37"/>
      <c r="S288" s="35" t="s">
        <v>96</v>
      </c>
      <c r="T288" s="38">
        <f>+(11*(1022001/14)+1350000+350000)*1.23*1.07</f>
        <v>3294199.3340785722</v>
      </c>
      <c r="U288" s="39"/>
      <c r="V288" s="131"/>
      <c r="W288" s="38">
        <v>0</v>
      </c>
      <c r="X288" s="38">
        <v>0</v>
      </c>
      <c r="Y288" s="38">
        <v>0</v>
      </c>
      <c r="Z288" s="38">
        <v>0</v>
      </c>
      <c r="AA288" s="91">
        <f>+T288*0.235*0.3</f>
        <v>232241.05305253933</v>
      </c>
      <c r="AB288" s="91">
        <f>+T288-AA288</f>
        <v>3061958.2810260328</v>
      </c>
      <c r="AC288" s="91">
        <v>0</v>
      </c>
      <c r="AD288" s="91">
        <v>0</v>
      </c>
      <c r="AE288" s="91">
        <v>0</v>
      </c>
      <c r="AF288" s="91">
        <v>0</v>
      </c>
      <c r="AG288" s="204">
        <v>0</v>
      </c>
    </row>
    <row r="289" spans="1:33" s="103" customFormat="1" ht="90" customHeight="1">
      <c r="A289" s="102">
        <f t="shared" si="52"/>
        <v>268</v>
      </c>
      <c r="B289" s="52"/>
      <c r="C289" s="51" t="s">
        <v>639</v>
      </c>
      <c r="D289" s="35"/>
      <c r="E289" s="35">
        <v>800008623</v>
      </c>
      <c r="F289" s="36" t="s">
        <v>67</v>
      </c>
      <c r="G289" s="35" t="s">
        <v>48</v>
      </c>
      <c r="H289" s="51" t="s">
        <v>68</v>
      </c>
      <c r="I289" s="34" t="s">
        <v>105</v>
      </c>
      <c r="J289" s="52" t="s">
        <v>70</v>
      </c>
      <c r="K289" s="52" t="s">
        <v>60</v>
      </c>
      <c r="L289" s="51" t="s">
        <v>61</v>
      </c>
      <c r="M289" s="51" t="s">
        <v>117</v>
      </c>
      <c r="N289" s="36" t="s">
        <v>50</v>
      </c>
      <c r="O289" s="51"/>
      <c r="P289" s="51" t="s">
        <v>640</v>
      </c>
      <c r="Q289" s="37"/>
      <c r="R289" s="37"/>
      <c r="S289" s="35" t="s">
        <v>96</v>
      </c>
      <c r="T289" s="38">
        <f>+(929210)*1.23*1.07</f>
        <v>1222933.2810000002</v>
      </c>
      <c r="U289" s="39"/>
      <c r="V289" s="131"/>
      <c r="W289" s="38">
        <v>0</v>
      </c>
      <c r="X289" s="38">
        <v>0</v>
      </c>
      <c r="Y289" s="38">
        <v>0</v>
      </c>
      <c r="Z289" s="38">
        <v>0</v>
      </c>
      <c r="AA289" s="91">
        <v>0</v>
      </c>
      <c r="AB289" s="91">
        <v>0</v>
      </c>
      <c r="AC289" s="91">
        <v>0</v>
      </c>
      <c r="AD289" s="91">
        <v>0</v>
      </c>
      <c r="AE289" s="91">
        <v>0</v>
      </c>
      <c r="AF289" s="91">
        <f>+T289*0.235*0.3</f>
        <v>86216.796310500009</v>
      </c>
      <c r="AG289" s="204">
        <f>+T289-AF289</f>
        <v>1136716.4846895002</v>
      </c>
    </row>
    <row r="290" spans="1:33" s="103" customFormat="1" ht="90" customHeight="1">
      <c r="A290" s="102">
        <f t="shared" si="52"/>
        <v>269</v>
      </c>
      <c r="B290" s="52"/>
      <c r="C290" s="51" t="s">
        <v>627</v>
      </c>
      <c r="D290" s="35" t="s">
        <v>65</v>
      </c>
      <c r="E290" s="35">
        <v>800004093</v>
      </c>
      <c r="F290" s="36" t="s">
        <v>67</v>
      </c>
      <c r="G290" s="35" t="s">
        <v>48</v>
      </c>
      <c r="H290" s="51" t="s">
        <v>68</v>
      </c>
      <c r="I290" s="34" t="s">
        <v>69</v>
      </c>
      <c r="J290" s="52" t="s">
        <v>70</v>
      </c>
      <c r="K290" s="52" t="s">
        <v>60</v>
      </c>
      <c r="L290" s="51" t="s">
        <v>61</v>
      </c>
      <c r="M290" s="51" t="s">
        <v>117</v>
      </c>
      <c r="N290" s="36" t="s">
        <v>50</v>
      </c>
      <c r="O290" s="51"/>
      <c r="P290" s="51" t="s">
        <v>641</v>
      </c>
      <c r="Q290" s="37"/>
      <c r="R290" s="37"/>
      <c r="S290" s="35" t="s">
        <v>96</v>
      </c>
      <c r="T290" s="38">
        <f>+(10*((1141850+1714473+2097122)/9)+3658606+1247367+1293526+1350713+4298671+28*(1022001/14)+1350000+350000+750000+300000)*1.23*1.07</f>
        <v>29147288.686833333</v>
      </c>
      <c r="U290" s="39"/>
      <c r="V290" s="131"/>
      <c r="W290" s="38">
        <v>0</v>
      </c>
      <c r="X290" s="38">
        <v>0</v>
      </c>
      <c r="Y290" s="38">
        <v>0</v>
      </c>
      <c r="Z290" s="38">
        <f>+T290*0.235*0.3</f>
        <v>2054883.8524217498</v>
      </c>
      <c r="AA290" s="91">
        <f>+T290-Z290-AB290</f>
        <v>25343567.513201583</v>
      </c>
      <c r="AB290" s="91">
        <f>+T290*0.06</f>
        <v>1748837.32121</v>
      </c>
      <c r="AC290" s="91">
        <v>0</v>
      </c>
      <c r="AD290" s="91">
        <f>+T290*0.01</f>
        <v>291472.88686833333</v>
      </c>
      <c r="AE290" s="91">
        <v>0</v>
      </c>
      <c r="AF290" s="91">
        <f>+AD290*1.15</f>
        <v>335193.81989858329</v>
      </c>
      <c r="AG290" s="204">
        <v>0</v>
      </c>
    </row>
    <row r="291" spans="1:33" s="103" customFormat="1" ht="90" customHeight="1">
      <c r="A291" s="102">
        <f t="shared" si="52"/>
        <v>270</v>
      </c>
      <c r="B291" s="52"/>
      <c r="C291" s="51" t="s">
        <v>643</v>
      </c>
      <c r="D291" s="35" t="s">
        <v>65</v>
      </c>
      <c r="E291" s="35">
        <v>800012955</v>
      </c>
      <c r="F291" s="36" t="s">
        <v>67</v>
      </c>
      <c r="G291" s="35" t="s">
        <v>48</v>
      </c>
      <c r="H291" s="51" t="s">
        <v>68</v>
      </c>
      <c r="I291" s="34" t="s">
        <v>69</v>
      </c>
      <c r="J291" s="52" t="s">
        <v>70</v>
      </c>
      <c r="K291" s="52" t="s">
        <v>60</v>
      </c>
      <c r="L291" s="51" t="s">
        <v>61</v>
      </c>
      <c r="M291" s="51" t="s">
        <v>117</v>
      </c>
      <c r="N291" s="36" t="s">
        <v>50</v>
      </c>
      <c r="O291" s="51"/>
      <c r="P291" s="51" t="s">
        <v>1247</v>
      </c>
      <c r="Q291" s="37"/>
      <c r="R291" s="37"/>
      <c r="S291" s="35" t="s">
        <v>96</v>
      </c>
      <c r="T291" s="38">
        <f>+(12*((1141850+1714473+2097122)/9)+3658606+1293526+1350713+4298671+12*(1022001/14)+929210+1350000+350000+300000+400000+300000)*1.23*1.07</f>
        <v>28574268.502685715</v>
      </c>
      <c r="U291" s="39"/>
      <c r="V291" s="131"/>
      <c r="W291" s="38">
        <v>0</v>
      </c>
      <c r="X291" s="38">
        <v>0</v>
      </c>
      <c r="Y291" s="38">
        <v>0</v>
      </c>
      <c r="Z291" s="38">
        <f>+T291*0.235*0.3</f>
        <v>2014485.9294393426</v>
      </c>
      <c r="AA291" s="91">
        <f>+T291-Z291-AB291</f>
        <v>24845326.463085227</v>
      </c>
      <c r="AB291" s="91">
        <f>+T291*0.06</f>
        <v>1714456.1101611429</v>
      </c>
      <c r="AC291" s="91">
        <v>0</v>
      </c>
      <c r="AD291" s="91">
        <f>+T291*0.01</f>
        <v>285742.68502685713</v>
      </c>
      <c r="AE291" s="91">
        <v>0</v>
      </c>
      <c r="AF291" s="91">
        <f>+AD291*1.15</f>
        <v>328604.08778088569</v>
      </c>
      <c r="AG291" s="204">
        <v>0</v>
      </c>
    </row>
    <row r="292" spans="1:33" s="103" customFormat="1" ht="90" customHeight="1">
      <c r="A292" s="102">
        <f t="shared" si="52"/>
        <v>271</v>
      </c>
      <c r="B292" s="52"/>
      <c r="C292" s="51" t="s">
        <v>629</v>
      </c>
      <c r="D292" s="35" t="s">
        <v>65</v>
      </c>
      <c r="E292" s="35">
        <v>800015719</v>
      </c>
      <c r="F292" s="36" t="s">
        <v>67</v>
      </c>
      <c r="G292" s="35" t="s">
        <v>48</v>
      </c>
      <c r="H292" s="51" t="s">
        <v>68</v>
      </c>
      <c r="I292" s="34" t="s">
        <v>90</v>
      </c>
      <c r="J292" s="52" t="s">
        <v>84</v>
      </c>
      <c r="K292" s="52"/>
      <c r="L292" s="51" t="s">
        <v>61</v>
      </c>
      <c r="M292" s="51" t="s">
        <v>117</v>
      </c>
      <c r="N292" s="36" t="s">
        <v>50</v>
      </c>
      <c r="O292" s="51"/>
      <c r="P292" s="51" t="s">
        <v>645</v>
      </c>
      <c r="Q292" s="37"/>
      <c r="R292" s="37"/>
      <c r="S292" s="35" t="s">
        <v>96</v>
      </c>
      <c r="T292" s="38">
        <f>+(7*((1141850+1714473+2097122)/9)+3658606+1293526+1350713+4298671+300000+1350000+929210+20*(1022001/14)+400000)*1.23*1.07</f>
        <v>24865612.785576191</v>
      </c>
      <c r="U292" s="39"/>
      <c r="V292" s="131"/>
      <c r="W292" s="38">
        <v>0</v>
      </c>
      <c r="X292" s="38">
        <v>0</v>
      </c>
      <c r="Y292" s="38">
        <v>0</v>
      </c>
      <c r="Z292" s="38">
        <f>+T292*0.235*0.3</f>
        <v>1753025.7013831213</v>
      </c>
      <c r="AA292" s="91">
        <f>+T292-Z292-AB292</f>
        <v>21620650.317058496</v>
      </c>
      <c r="AB292" s="91">
        <f>+T292*0.06</f>
        <v>1491936.7671345714</v>
      </c>
      <c r="AC292" s="91">
        <v>0</v>
      </c>
      <c r="AD292" s="91">
        <f>+T292*0.01</f>
        <v>248656.12785576191</v>
      </c>
      <c r="AE292" s="91">
        <v>0</v>
      </c>
      <c r="AF292" s="91">
        <f>+AD292*1.15</f>
        <v>285954.54703412618</v>
      </c>
      <c r="AG292" s="204">
        <v>0</v>
      </c>
    </row>
    <row r="293" spans="1:33" s="103" customFormat="1" ht="90" customHeight="1">
      <c r="A293" s="102">
        <f t="shared" si="52"/>
        <v>272</v>
      </c>
      <c r="B293" s="52"/>
      <c r="C293" s="51" t="s">
        <v>646</v>
      </c>
      <c r="D293" s="35" t="s">
        <v>65</v>
      </c>
      <c r="E293" s="35">
        <v>800019646</v>
      </c>
      <c r="F293" s="36" t="s">
        <v>67</v>
      </c>
      <c r="G293" s="35" t="s">
        <v>48</v>
      </c>
      <c r="H293" s="51" t="s">
        <v>68</v>
      </c>
      <c r="I293" s="34" t="s">
        <v>579</v>
      </c>
      <c r="J293" s="52" t="s">
        <v>70</v>
      </c>
      <c r="K293" s="52" t="s">
        <v>60</v>
      </c>
      <c r="L293" s="51" t="s">
        <v>61</v>
      </c>
      <c r="M293" s="51" t="s">
        <v>117</v>
      </c>
      <c r="N293" s="36" t="s">
        <v>50</v>
      </c>
      <c r="O293" s="51"/>
      <c r="P293" s="51" t="s">
        <v>647</v>
      </c>
      <c r="Q293" s="37"/>
      <c r="R293" s="37"/>
      <c r="S293" s="35" t="s">
        <v>52</v>
      </c>
      <c r="T293" s="38">
        <f>+(450000)*1.23</f>
        <v>553500</v>
      </c>
      <c r="U293" s="39"/>
      <c r="V293" s="131"/>
      <c r="W293" s="38">
        <v>0</v>
      </c>
      <c r="X293" s="38">
        <f>+T293</f>
        <v>553500</v>
      </c>
      <c r="Y293" s="38">
        <v>0</v>
      </c>
      <c r="Z293" s="38">
        <v>0</v>
      </c>
      <c r="AA293" s="91">
        <v>0</v>
      </c>
      <c r="AB293" s="91">
        <v>0</v>
      </c>
      <c r="AC293" s="91">
        <v>0</v>
      </c>
      <c r="AD293" s="91">
        <v>0</v>
      </c>
      <c r="AE293" s="91">
        <v>0</v>
      </c>
      <c r="AF293" s="91">
        <v>0</v>
      </c>
      <c r="AG293" s="204">
        <v>0</v>
      </c>
    </row>
    <row r="294" spans="1:33" s="103" customFormat="1" ht="90" customHeight="1">
      <c r="A294" s="102">
        <f t="shared" si="52"/>
        <v>273</v>
      </c>
      <c r="B294" s="52"/>
      <c r="C294" s="51" t="s">
        <v>566</v>
      </c>
      <c r="D294" s="35" t="s">
        <v>65</v>
      </c>
      <c r="E294" s="35">
        <v>800035381</v>
      </c>
      <c r="F294" s="36" t="s">
        <v>67</v>
      </c>
      <c r="G294" s="35" t="s">
        <v>48</v>
      </c>
      <c r="H294" s="51" t="s">
        <v>68</v>
      </c>
      <c r="I294" s="34" t="s">
        <v>257</v>
      </c>
      <c r="J294" s="52" t="s">
        <v>258</v>
      </c>
      <c r="K294" s="52"/>
      <c r="L294" s="51" t="s">
        <v>61</v>
      </c>
      <c r="M294" s="51" t="s">
        <v>117</v>
      </c>
      <c r="N294" s="36" t="s">
        <v>50</v>
      </c>
      <c r="O294" s="51"/>
      <c r="P294" s="51" t="s">
        <v>648</v>
      </c>
      <c r="Q294" s="37">
        <v>42826</v>
      </c>
      <c r="R294" s="37">
        <v>43190</v>
      </c>
      <c r="S294" s="35" t="s">
        <v>96</v>
      </c>
      <c r="T294" s="38">
        <f>+(8*((1141850+1714473+2097122)/9)+1293526+1350713+4298671+300000+1350000+350000+929210+600000+24*(1022001/14)+750000)*1.23*1.07</f>
        <v>22870111.778838098</v>
      </c>
      <c r="U294" s="39"/>
      <c r="V294" s="131"/>
      <c r="W294" s="38">
        <v>0</v>
      </c>
      <c r="X294" s="38">
        <v>0</v>
      </c>
      <c r="Y294" s="132">
        <f>+T294*0.235*0.3</f>
        <v>1612342.8804080856</v>
      </c>
      <c r="Z294" s="38">
        <f>+T294-Y294-AA294</f>
        <v>20114263.309488107</v>
      </c>
      <c r="AA294" s="91">
        <f>+T294*0.05</f>
        <v>1143505.5889419049</v>
      </c>
      <c r="AB294" s="91">
        <v>0</v>
      </c>
      <c r="AC294" s="91">
        <f>+AA294*0.1</f>
        <v>114350.5588941905</v>
      </c>
      <c r="AD294" s="91">
        <v>0</v>
      </c>
      <c r="AE294" s="91">
        <f>+AC294*1.15</f>
        <v>131503.14272831907</v>
      </c>
      <c r="AF294" s="91">
        <v>0</v>
      </c>
      <c r="AG294" s="204">
        <f>+AE294*1.15</f>
        <v>151228.61413756691</v>
      </c>
    </row>
    <row r="295" spans="1:33" s="103" customFormat="1" ht="90" customHeight="1">
      <c r="A295" s="102">
        <f t="shared" si="52"/>
        <v>274</v>
      </c>
      <c r="B295" s="52"/>
      <c r="C295" s="51" t="s">
        <v>649</v>
      </c>
      <c r="D295" s="35" t="s">
        <v>73</v>
      </c>
      <c r="E295" s="35">
        <v>800013565</v>
      </c>
      <c r="F295" s="36" t="s">
        <v>67</v>
      </c>
      <c r="G295" s="35" t="s">
        <v>48</v>
      </c>
      <c r="H295" s="51" t="s">
        <v>68</v>
      </c>
      <c r="I295" s="34" t="s">
        <v>327</v>
      </c>
      <c r="J295" s="52" t="s">
        <v>84</v>
      </c>
      <c r="K295" s="52"/>
      <c r="L295" s="51" t="s">
        <v>61</v>
      </c>
      <c r="M295" s="51" t="s">
        <v>117</v>
      </c>
      <c r="N295" s="36" t="s">
        <v>50</v>
      </c>
      <c r="O295" s="51"/>
      <c r="P295" s="51" t="s">
        <v>650</v>
      </c>
      <c r="Q295" s="37"/>
      <c r="R295" s="37"/>
      <c r="S295" s="35" t="s">
        <v>96</v>
      </c>
      <c r="T295" s="38">
        <f t="shared" ref="T295" si="54">+(2097122)*1.23*1.07</f>
        <v>2760022.2642000001</v>
      </c>
      <c r="U295" s="39"/>
      <c r="V295" s="131"/>
      <c r="W295" s="38">
        <v>0</v>
      </c>
      <c r="X295" s="38">
        <v>0</v>
      </c>
      <c r="Y295" s="38">
        <v>0</v>
      </c>
      <c r="Z295" s="38">
        <v>0</v>
      </c>
      <c r="AA295" s="91">
        <f>+T295*0.235*0.3</f>
        <v>194581.56962610001</v>
      </c>
      <c r="AB295" s="91">
        <f>+T295-AA295-AC295</f>
        <v>2399839.3587219003</v>
      </c>
      <c r="AC295" s="91">
        <f>+T295*0.06</f>
        <v>165601.33585199999</v>
      </c>
      <c r="AD295" s="91">
        <v>0</v>
      </c>
      <c r="AE295" s="91">
        <f>+T295*0.06</f>
        <v>165601.33585199999</v>
      </c>
      <c r="AF295" s="91">
        <v>0</v>
      </c>
      <c r="AG295" s="204">
        <f>+AE295*1.15</f>
        <v>190441.53622979997</v>
      </c>
    </row>
    <row r="296" spans="1:33" s="103" customFormat="1" ht="90" customHeight="1">
      <c r="A296" s="102">
        <f t="shared" si="52"/>
        <v>275</v>
      </c>
      <c r="B296" s="52"/>
      <c r="C296" s="51" t="s">
        <v>651</v>
      </c>
      <c r="D296" s="35" t="s">
        <v>65</v>
      </c>
      <c r="E296" s="35">
        <v>800020131</v>
      </c>
      <c r="F296" s="36" t="s">
        <v>67</v>
      </c>
      <c r="G296" s="35" t="s">
        <v>48</v>
      </c>
      <c r="H296" s="51" t="s">
        <v>68</v>
      </c>
      <c r="I296" s="34" t="s">
        <v>253</v>
      </c>
      <c r="J296" s="52" t="s">
        <v>84</v>
      </c>
      <c r="K296" s="52"/>
      <c r="L296" s="51" t="s">
        <v>61</v>
      </c>
      <c r="M296" s="51" t="s">
        <v>117</v>
      </c>
      <c r="N296" s="36" t="s">
        <v>50</v>
      </c>
      <c r="O296" s="51"/>
      <c r="P296" s="51" t="s">
        <v>652</v>
      </c>
      <c r="Q296" s="37"/>
      <c r="R296" s="37"/>
      <c r="S296" s="35" t="s">
        <v>96</v>
      </c>
      <c r="T296" s="38">
        <f>+(1823640+10*((1141850+1714473+2097122)/9)+3658606+1293526+1350713*2+4298671+300000+929210+10*(1022001/14)+750000+150000)*1.23*1.07</f>
        <v>29137016.150304757</v>
      </c>
      <c r="U296" s="39"/>
      <c r="V296" s="131"/>
      <c r="W296" s="38">
        <v>0</v>
      </c>
      <c r="X296" s="38">
        <v>0</v>
      </c>
      <c r="Y296" s="38">
        <v>0</v>
      </c>
      <c r="Z296" s="38">
        <f>+T296*0.235*0.3</f>
        <v>2054159.6385964851</v>
      </c>
      <c r="AA296" s="91">
        <f>+T296-Z296-AB296</f>
        <v>25334635.542689987</v>
      </c>
      <c r="AB296" s="91">
        <f>+T296*0.06</f>
        <v>1748220.9690182854</v>
      </c>
      <c r="AC296" s="91">
        <v>0</v>
      </c>
      <c r="AD296" s="91">
        <f>+T296*0.01</f>
        <v>291370.16150304757</v>
      </c>
      <c r="AE296" s="91">
        <v>0</v>
      </c>
      <c r="AF296" s="91">
        <f>+AD296*1.15</f>
        <v>335075.68572850467</v>
      </c>
      <c r="AG296" s="204">
        <v>0</v>
      </c>
    </row>
    <row r="297" spans="1:33" s="103" customFormat="1" ht="90" customHeight="1">
      <c r="A297" s="102">
        <f t="shared" si="52"/>
        <v>276</v>
      </c>
      <c r="B297" s="52"/>
      <c r="C297" s="51" t="s">
        <v>653</v>
      </c>
      <c r="D297" s="35" t="s">
        <v>73</v>
      </c>
      <c r="E297" s="35">
        <v>800001875</v>
      </c>
      <c r="F297" s="36" t="s">
        <v>67</v>
      </c>
      <c r="G297" s="35" t="s">
        <v>48</v>
      </c>
      <c r="H297" s="51" t="s">
        <v>68</v>
      </c>
      <c r="I297" s="34" t="s">
        <v>90</v>
      </c>
      <c r="J297" s="52" t="s">
        <v>84</v>
      </c>
      <c r="K297" s="52"/>
      <c r="L297" s="51" t="s">
        <v>61</v>
      </c>
      <c r="M297" s="51" t="s">
        <v>117</v>
      </c>
      <c r="N297" s="36" t="s">
        <v>50</v>
      </c>
      <c r="O297" s="51"/>
      <c r="P297" s="51" t="s">
        <v>654</v>
      </c>
      <c r="Q297" s="37"/>
      <c r="R297" s="37"/>
      <c r="S297" s="35" t="s">
        <v>96</v>
      </c>
      <c r="T297" s="38">
        <f>+(2097122)*1.23*1.07*3</f>
        <v>8280066.7926000003</v>
      </c>
      <c r="U297" s="39"/>
      <c r="V297" s="131"/>
      <c r="W297" s="38">
        <v>0</v>
      </c>
      <c r="X297" s="38">
        <v>0</v>
      </c>
      <c r="Y297" s="38">
        <v>0</v>
      </c>
      <c r="Z297" s="38">
        <v>0</v>
      </c>
      <c r="AA297" s="91">
        <f>+T297*0.235*0.3</f>
        <v>583744.70887829992</v>
      </c>
      <c r="AB297" s="91">
        <f>+T297-AA297</f>
        <v>7696322.0837217001</v>
      </c>
      <c r="AC297" s="91">
        <v>0</v>
      </c>
      <c r="AD297" s="91">
        <f>+T297*0.01</f>
        <v>82800.667926000009</v>
      </c>
      <c r="AE297" s="91">
        <v>0</v>
      </c>
      <c r="AF297" s="91">
        <f>+AD297*1.15</f>
        <v>95220.768114899998</v>
      </c>
      <c r="AG297" s="204">
        <v>0</v>
      </c>
    </row>
    <row r="298" spans="1:33" s="103" customFormat="1" ht="90" customHeight="1">
      <c r="A298" s="102">
        <f t="shared" si="52"/>
        <v>277</v>
      </c>
      <c r="B298" s="52"/>
      <c r="C298" s="51" t="s">
        <v>570</v>
      </c>
      <c r="D298" s="35" t="s">
        <v>65</v>
      </c>
      <c r="E298" s="35">
        <v>800013647</v>
      </c>
      <c r="F298" s="36" t="s">
        <v>67</v>
      </c>
      <c r="G298" s="35" t="s">
        <v>48</v>
      </c>
      <c r="H298" s="51" t="s">
        <v>68</v>
      </c>
      <c r="I298" s="34" t="s">
        <v>410</v>
      </c>
      <c r="J298" s="52" t="s">
        <v>70</v>
      </c>
      <c r="K298" s="52" t="s">
        <v>60</v>
      </c>
      <c r="L298" s="51" t="s">
        <v>61</v>
      </c>
      <c r="M298" s="51" t="s">
        <v>117</v>
      </c>
      <c r="N298" s="36" t="s">
        <v>50</v>
      </c>
      <c r="O298" s="51"/>
      <c r="P298" s="51" t="s">
        <v>655</v>
      </c>
      <c r="Q298" s="37"/>
      <c r="R298" s="37"/>
      <c r="S298" s="35" t="s">
        <v>96</v>
      </c>
      <c r="T298" s="38">
        <f>+(2097122*3+1823640)*1.23*1.07</f>
        <v>10680159.396599999</v>
      </c>
      <c r="U298" s="39"/>
      <c r="V298" s="131"/>
      <c r="W298" s="38">
        <v>0</v>
      </c>
      <c r="X298" s="38">
        <v>0</v>
      </c>
      <c r="Y298" s="38">
        <v>0</v>
      </c>
      <c r="Z298" s="38">
        <v>0</v>
      </c>
      <c r="AA298" s="91">
        <f>+T298*0.235*0.3</f>
        <v>752951.23746029986</v>
      </c>
      <c r="AB298" s="91">
        <f>+T298-AA298-AC298</f>
        <v>9286398.5953436978</v>
      </c>
      <c r="AC298" s="91">
        <f>+T298*0.06</f>
        <v>640809.56379599986</v>
      </c>
      <c r="AD298" s="91">
        <v>0</v>
      </c>
      <c r="AE298" s="91">
        <f>+T298*0.06</f>
        <v>640809.56379599986</v>
      </c>
      <c r="AF298" s="91">
        <v>0</v>
      </c>
      <c r="AG298" s="204">
        <f>+AE298*1.15</f>
        <v>736930.99836539978</v>
      </c>
    </row>
    <row r="299" spans="1:33" s="103" customFormat="1" ht="90" customHeight="1">
      <c r="A299" s="102">
        <f t="shared" si="52"/>
        <v>278</v>
      </c>
      <c r="B299" s="52"/>
      <c r="C299" s="51" t="s">
        <v>656</v>
      </c>
      <c r="D299" s="35" t="s">
        <v>65</v>
      </c>
      <c r="E299" s="35">
        <v>800004903</v>
      </c>
      <c r="F299" s="36" t="s">
        <v>67</v>
      </c>
      <c r="G299" s="35" t="s">
        <v>48</v>
      </c>
      <c r="H299" s="51" t="s">
        <v>68</v>
      </c>
      <c r="I299" s="34" t="s">
        <v>83</v>
      </c>
      <c r="J299" s="52" t="s">
        <v>84</v>
      </c>
      <c r="K299" s="52"/>
      <c r="L299" s="51" t="s">
        <v>61</v>
      </c>
      <c r="M299" s="51" t="s">
        <v>117</v>
      </c>
      <c r="N299" s="36" t="s">
        <v>50</v>
      </c>
      <c r="O299" s="51"/>
      <c r="P299" s="51" t="s">
        <v>657</v>
      </c>
      <c r="Q299" s="37"/>
      <c r="R299" s="37"/>
      <c r="S299" s="35" t="s">
        <v>96</v>
      </c>
      <c r="T299" s="38">
        <f>+(1823640+8*((1141850+1714473+2097122)/9)+3658606+1293526+1350713*3)*1.23*1.07</f>
        <v>20045483.857766666</v>
      </c>
      <c r="U299" s="39"/>
      <c r="V299" s="131"/>
      <c r="W299" s="38">
        <v>0</v>
      </c>
      <c r="X299" s="38">
        <v>0</v>
      </c>
      <c r="Y299" s="38">
        <v>0</v>
      </c>
      <c r="Z299" s="38">
        <v>0</v>
      </c>
      <c r="AA299" s="91">
        <v>0</v>
      </c>
      <c r="AB299" s="91">
        <f>+T299*0.235*0.3</f>
        <v>1413206.6119725499</v>
      </c>
      <c r="AC299" s="91">
        <f>+T299-AB299-AD299</f>
        <v>17429548.214328118</v>
      </c>
      <c r="AD299" s="91">
        <f>+T299*0.06</f>
        <v>1202729.0314659998</v>
      </c>
      <c r="AE299" s="91">
        <v>0</v>
      </c>
      <c r="AF299" s="91">
        <f>+T299*0.01</f>
        <v>200454.83857766667</v>
      </c>
      <c r="AG299" s="204">
        <v>0</v>
      </c>
    </row>
    <row r="300" spans="1:33" s="103" customFormat="1" ht="90" customHeight="1">
      <c r="A300" s="102">
        <f t="shared" si="52"/>
        <v>279</v>
      </c>
      <c r="B300" s="52"/>
      <c r="C300" s="51" t="s">
        <v>658</v>
      </c>
      <c r="D300" s="35" t="s">
        <v>65</v>
      </c>
      <c r="E300" s="35">
        <v>800003632</v>
      </c>
      <c r="F300" s="36" t="s">
        <v>67</v>
      </c>
      <c r="G300" s="35" t="s">
        <v>48</v>
      </c>
      <c r="H300" s="51" t="s">
        <v>68</v>
      </c>
      <c r="I300" s="34" t="s">
        <v>83</v>
      </c>
      <c r="J300" s="52" t="s">
        <v>84</v>
      </c>
      <c r="K300" s="52"/>
      <c r="L300" s="51" t="s">
        <v>61</v>
      </c>
      <c r="M300" s="51" t="s">
        <v>117</v>
      </c>
      <c r="N300" s="36" t="s">
        <v>50</v>
      </c>
      <c r="O300" s="51"/>
      <c r="P300" s="51" t="s">
        <v>659</v>
      </c>
      <c r="Q300" s="37"/>
      <c r="R300" s="37"/>
      <c r="S300" s="35" t="s">
        <v>96</v>
      </c>
      <c r="T300" s="38">
        <f>+(1823640+12*((1141850+1714473+2097122)/9)+3658606+1293526+1350713*3)*1.23*1.07</f>
        <v>22942918.9531</v>
      </c>
      <c r="U300" s="39"/>
      <c r="V300" s="131"/>
      <c r="W300" s="38">
        <v>0</v>
      </c>
      <c r="X300" s="38">
        <v>0</v>
      </c>
      <c r="Y300" s="38">
        <v>0</v>
      </c>
      <c r="Z300" s="38">
        <v>0</v>
      </c>
      <c r="AA300" s="91">
        <f>+T300*0.235*0.3</f>
        <v>1617475.7861935499</v>
      </c>
      <c r="AB300" s="91">
        <f>+T300-AA300-AC300</f>
        <v>19948868.029720452</v>
      </c>
      <c r="AC300" s="91">
        <f>+T300*0.06</f>
        <v>1376575.1371859999</v>
      </c>
      <c r="AD300" s="91">
        <v>0</v>
      </c>
      <c r="AE300" s="91">
        <f>+T300*0.01</f>
        <v>229429.18953100001</v>
      </c>
      <c r="AF300" s="91">
        <v>0</v>
      </c>
      <c r="AG300" s="204">
        <f>+AE300*1.15</f>
        <v>263843.56796065002</v>
      </c>
    </row>
    <row r="301" spans="1:33" s="103" customFormat="1" ht="90" customHeight="1">
      <c r="A301" s="102">
        <f t="shared" si="52"/>
        <v>280</v>
      </c>
      <c r="B301" s="52"/>
      <c r="C301" s="51" t="s">
        <v>621</v>
      </c>
      <c r="D301" s="35" t="s">
        <v>73</v>
      </c>
      <c r="E301" s="35">
        <v>800034589</v>
      </c>
      <c r="F301" s="36" t="s">
        <v>67</v>
      </c>
      <c r="G301" s="35" t="s">
        <v>48</v>
      </c>
      <c r="H301" s="51" t="s">
        <v>68</v>
      </c>
      <c r="I301" s="34" t="s">
        <v>622</v>
      </c>
      <c r="J301" s="52" t="s">
        <v>84</v>
      </c>
      <c r="K301" s="52"/>
      <c r="L301" s="51" t="s">
        <v>61</v>
      </c>
      <c r="M301" s="51" t="s">
        <v>117</v>
      </c>
      <c r="N301" s="36" t="s">
        <v>50</v>
      </c>
      <c r="O301" s="51"/>
      <c r="P301" s="51" t="s">
        <v>660</v>
      </c>
      <c r="Q301" s="37"/>
      <c r="R301" s="37"/>
      <c r="S301" s="35" t="s">
        <v>96</v>
      </c>
      <c r="T301" s="38">
        <f>+(12*((1141850+1714473+2097122)/9)+1293526+1350713*3+8*1022001/14)*1.23*1.07</f>
        <v>16496338.144557141</v>
      </c>
      <c r="U301" s="39"/>
      <c r="V301" s="131"/>
      <c r="W301" s="38">
        <v>0</v>
      </c>
      <c r="X301" s="38">
        <v>0</v>
      </c>
      <c r="Y301" s="38">
        <v>0</v>
      </c>
      <c r="Z301" s="38">
        <v>0</v>
      </c>
      <c r="AA301" s="91">
        <f>+T301*0.235*0.3</f>
        <v>1162991.8391912784</v>
      </c>
      <c r="AB301" s="91">
        <f>+T301-AA301-AC301</f>
        <v>14343566.016692434</v>
      </c>
      <c r="AC301" s="91">
        <f>+T301*0.06</f>
        <v>989780.28867342835</v>
      </c>
      <c r="AD301" s="91">
        <v>0</v>
      </c>
      <c r="AE301" s="91">
        <f>+T301*0.01</f>
        <v>164963.3814455714</v>
      </c>
      <c r="AF301" s="91">
        <v>0</v>
      </c>
      <c r="AG301" s="204">
        <f>+AE301*1.15</f>
        <v>189707.88866240709</v>
      </c>
    </row>
    <row r="302" spans="1:33" s="103" customFormat="1" ht="90" customHeight="1">
      <c r="A302" s="102">
        <f t="shared" si="52"/>
        <v>281</v>
      </c>
      <c r="B302" s="52"/>
      <c r="C302" s="51" t="s">
        <v>661</v>
      </c>
      <c r="D302" s="35" t="s">
        <v>65</v>
      </c>
      <c r="E302" s="35">
        <v>800012070</v>
      </c>
      <c r="F302" s="36" t="s">
        <v>67</v>
      </c>
      <c r="G302" s="35" t="s">
        <v>48</v>
      </c>
      <c r="H302" s="51" t="s">
        <v>68</v>
      </c>
      <c r="I302" s="34" t="s">
        <v>150</v>
      </c>
      <c r="J302" s="52" t="s">
        <v>84</v>
      </c>
      <c r="K302" s="52"/>
      <c r="L302" s="51" t="s">
        <v>61</v>
      </c>
      <c r="M302" s="51" t="s">
        <v>117</v>
      </c>
      <c r="N302" s="36" t="s">
        <v>50</v>
      </c>
      <c r="O302" s="51"/>
      <c r="P302" s="51" t="s">
        <v>662</v>
      </c>
      <c r="Q302" s="37"/>
      <c r="R302" s="37"/>
      <c r="S302" s="35" t="s">
        <v>96</v>
      </c>
      <c r="T302" s="38">
        <f>+(2*((1141850+1714473+2097122)/9)+3658606+1293526+1350713*3+300000+929210+10*1022001/14+750000+150000)*1.23*1.07</f>
        <v>17062245.831838097</v>
      </c>
      <c r="U302" s="39"/>
      <c r="V302" s="131"/>
      <c r="W302" s="38">
        <v>0</v>
      </c>
      <c r="X302" s="38">
        <v>0</v>
      </c>
      <c r="Y302" s="38">
        <v>0</v>
      </c>
      <c r="Z302" s="38">
        <v>0</v>
      </c>
      <c r="AA302" s="91">
        <v>0</v>
      </c>
      <c r="AB302" s="91">
        <f>+T302*0.235*0.3</f>
        <v>1202888.3311445857</v>
      </c>
      <c r="AC302" s="91">
        <f>+T302-AB302</f>
        <v>15859357.500693511</v>
      </c>
      <c r="AD302" s="91">
        <v>0</v>
      </c>
      <c r="AE302" s="91">
        <f>+T302*0.01</f>
        <v>170622.45831838099</v>
      </c>
      <c r="AF302" s="91">
        <v>0</v>
      </c>
      <c r="AG302" s="204">
        <f>+AE302*1.15</f>
        <v>196215.82706613812</v>
      </c>
    </row>
    <row r="303" spans="1:33" s="103" customFormat="1" ht="90" customHeight="1">
      <c r="A303" s="102">
        <f t="shared" si="52"/>
        <v>282</v>
      </c>
      <c r="B303" s="52"/>
      <c r="C303" s="51" t="s">
        <v>663</v>
      </c>
      <c r="D303" s="35" t="s">
        <v>73</v>
      </c>
      <c r="E303" s="35">
        <v>800005314</v>
      </c>
      <c r="F303" s="36" t="s">
        <v>67</v>
      </c>
      <c r="G303" s="35" t="s">
        <v>48</v>
      </c>
      <c r="H303" s="51" t="s">
        <v>68</v>
      </c>
      <c r="I303" s="34" t="s">
        <v>150</v>
      </c>
      <c r="J303" s="52" t="s">
        <v>84</v>
      </c>
      <c r="K303" s="52"/>
      <c r="L303" s="51" t="s">
        <v>61</v>
      </c>
      <c r="M303" s="51" t="s">
        <v>117</v>
      </c>
      <c r="N303" s="36" t="s">
        <v>50</v>
      </c>
      <c r="O303" s="51"/>
      <c r="P303" s="51" t="s">
        <v>665</v>
      </c>
      <c r="Q303" s="37"/>
      <c r="R303" s="37"/>
      <c r="S303" s="35" t="s">
        <v>96</v>
      </c>
      <c r="T303" s="38">
        <f>+(5*((1141850+1714473+2097122)/9)+1293526+1350713*3+300000+929210+10*1022001/14+750000+150000)*1.23*1.07</f>
        <v>14420230.796738094</v>
      </c>
      <c r="U303" s="39"/>
      <c r="V303" s="131"/>
      <c r="W303" s="38">
        <v>0</v>
      </c>
      <c r="X303" s="38">
        <v>0</v>
      </c>
      <c r="Y303" s="38">
        <v>0</v>
      </c>
      <c r="Z303" s="38">
        <v>0</v>
      </c>
      <c r="AA303" s="91">
        <f>+T303*0.235*0.3</f>
        <v>1016626.2711700356</v>
      </c>
      <c r="AB303" s="91">
        <f>+T303-AA303-AC303</f>
        <v>12538390.677763773</v>
      </c>
      <c r="AC303" s="91">
        <f>+T303*0.06</f>
        <v>865213.84780428559</v>
      </c>
      <c r="AD303" s="91">
        <v>0</v>
      </c>
      <c r="AE303" s="91">
        <f>+T303*0.01</f>
        <v>144202.30796738094</v>
      </c>
      <c r="AF303" s="91">
        <v>0</v>
      </c>
      <c r="AG303" s="204">
        <f>+AE303*1.15</f>
        <v>165832.65416248806</v>
      </c>
    </row>
    <row r="304" spans="1:33" s="103" customFormat="1" ht="90" customHeight="1">
      <c r="A304" s="102">
        <f t="shared" si="52"/>
        <v>283</v>
      </c>
      <c r="B304" s="52"/>
      <c r="C304" s="51" t="s">
        <v>666</v>
      </c>
      <c r="D304" s="35" t="s">
        <v>65</v>
      </c>
      <c r="E304" s="35">
        <v>800010926</v>
      </c>
      <c r="F304" s="36" t="s">
        <v>67</v>
      </c>
      <c r="G304" s="35" t="s">
        <v>48</v>
      </c>
      <c r="H304" s="51" t="s">
        <v>68</v>
      </c>
      <c r="I304" s="34" t="s">
        <v>150</v>
      </c>
      <c r="J304" s="52" t="s">
        <v>84</v>
      </c>
      <c r="K304" s="52"/>
      <c r="L304" s="51" t="s">
        <v>61</v>
      </c>
      <c r="M304" s="51" t="s">
        <v>117</v>
      </c>
      <c r="N304" s="36" t="s">
        <v>50</v>
      </c>
      <c r="O304" s="51"/>
      <c r="P304" s="51" t="s">
        <v>667</v>
      </c>
      <c r="Q304" s="37"/>
      <c r="R304" s="37"/>
      <c r="S304" s="35" t="s">
        <v>96</v>
      </c>
      <c r="T304" s="38">
        <f>+(5*((1141850+1714473+2097122)/9)+3658606+1293526+1350713+300000+929210+4*1022001/14+750000+150000)*1.23*1.07</f>
        <v>15103523.030695237</v>
      </c>
      <c r="U304" s="39"/>
      <c r="V304" s="131"/>
      <c r="W304" s="38">
        <v>0</v>
      </c>
      <c r="X304" s="38">
        <v>0</v>
      </c>
      <c r="Y304" s="38">
        <v>0</v>
      </c>
      <c r="Z304" s="38">
        <v>0</v>
      </c>
      <c r="AA304" s="91">
        <v>0</v>
      </c>
      <c r="AB304" s="91">
        <v>0</v>
      </c>
      <c r="AC304" s="91">
        <f>+T304*0.235*0.3</f>
        <v>1064798.373664014</v>
      </c>
      <c r="AD304" s="91">
        <f>+T304-AC304-AE304</f>
        <v>13132513.27518951</v>
      </c>
      <c r="AE304" s="91">
        <f>+T304*0.06</f>
        <v>906211.38184171414</v>
      </c>
      <c r="AF304" s="91">
        <v>0</v>
      </c>
      <c r="AG304" s="204">
        <f>+T304*0.01</f>
        <v>151035.23030695238</v>
      </c>
    </row>
    <row r="305" spans="1:33" s="103" customFormat="1" ht="90" customHeight="1">
      <c r="A305" s="102">
        <f t="shared" si="52"/>
        <v>284</v>
      </c>
      <c r="B305" s="52"/>
      <c r="C305" s="51" t="s">
        <v>668</v>
      </c>
      <c r="D305" s="35" t="s">
        <v>73</v>
      </c>
      <c r="E305" s="35">
        <v>800001065</v>
      </c>
      <c r="F305" s="36" t="s">
        <v>67</v>
      </c>
      <c r="G305" s="35" t="s">
        <v>48</v>
      </c>
      <c r="H305" s="51" t="s">
        <v>68</v>
      </c>
      <c r="I305" s="34" t="s">
        <v>619</v>
      </c>
      <c r="J305" s="52" t="s">
        <v>84</v>
      </c>
      <c r="K305" s="52"/>
      <c r="L305" s="51" t="s">
        <v>61</v>
      </c>
      <c r="M305" s="51" t="s">
        <v>117</v>
      </c>
      <c r="N305" s="36" t="s">
        <v>50</v>
      </c>
      <c r="O305" s="51"/>
      <c r="P305" s="51" t="s">
        <v>669</v>
      </c>
      <c r="Q305" s="37"/>
      <c r="R305" s="37"/>
      <c r="S305" s="35" t="s">
        <v>96</v>
      </c>
      <c r="T305" s="38">
        <f>+(8*((1141850+1714473+2097122)/9)+1350713*2+10*1022001/14+150000)*1.23*1.07</f>
        <v>10508385.889338097</v>
      </c>
      <c r="U305" s="39"/>
      <c r="V305" s="131"/>
      <c r="W305" s="38"/>
      <c r="X305" s="38"/>
      <c r="Y305" s="38">
        <v>0</v>
      </c>
      <c r="Z305" s="38">
        <v>0</v>
      </c>
      <c r="AA305" s="91">
        <f>+T305*0.235*0.3</f>
        <v>740841.20519833569</v>
      </c>
      <c r="AB305" s="91">
        <f>+T305-AA305</f>
        <v>9767544.6841397602</v>
      </c>
      <c r="AC305" s="91">
        <v>0</v>
      </c>
      <c r="AD305" s="91">
        <v>0</v>
      </c>
      <c r="AE305" s="91">
        <v>0</v>
      </c>
      <c r="AF305" s="91">
        <v>0</v>
      </c>
      <c r="AG305" s="204">
        <v>0</v>
      </c>
    </row>
    <row r="306" spans="1:33" s="103" customFormat="1" ht="90" customHeight="1">
      <c r="A306" s="102">
        <f t="shared" si="52"/>
        <v>285</v>
      </c>
      <c r="B306" s="52"/>
      <c r="C306" s="51" t="s">
        <v>670</v>
      </c>
      <c r="D306" s="35" t="s">
        <v>65</v>
      </c>
      <c r="E306" s="35">
        <v>800023333</v>
      </c>
      <c r="F306" s="36" t="s">
        <v>67</v>
      </c>
      <c r="G306" s="35" t="s">
        <v>48</v>
      </c>
      <c r="H306" s="51" t="s">
        <v>68</v>
      </c>
      <c r="I306" s="34" t="s">
        <v>69</v>
      </c>
      <c r="J306" s="52" t="s">
        <v>70</v>
      </c>
      <c r="K306" s="52" t="s">
        <v>60</v>
      </c>
      <c r="L306" s="51" t="s">
        <v>61</v>
      </c>
      <c r="M306" s="51" t="s">
        <v>117</v>
      </c>
      <c r="N306" s="36" t="s">
        <v>50</v>
      </c>
      <c r="O306" s="51"/>
      <c r="P306" s="51" t="s">
        <v>671</v>
      </c>
      <c r="Q306" s="37"/>
      <c r="R306" s="37"/>
      <c r="S306" s="35" t="s">
        <v>96</v>
      </c>
      <c r="T306" s="38">
        <f>+(3658606+1293526+1350713*3+300000+929210+6*1022001/14+750000+150000)*1.23*1.07</f>
        <v>15229226.708142858</v>
      </c>
      <c r="U306" s="39"/>
      <c r="V306" s="131"/>
      <c r="W306" s="38">
        <v>0</v>
      </c>
      <c r="X306" s="38">
        <v>0</v>
      </c>
      <c r="Y306" s="38">
        <v>0</v>
      </c>
      <c r="Z306" s="38">
        <v>0</v>
      </c>
      <c r="AA306" s="91">
        <v>0</v>
      </c>
      <c r="AB306" s="91">
        <v>0</v>
      </c>
      <c r="AC306" s="91">
        <v>0</v>
      </c>
      <c r="AD306" s="91">
        <f>+T306*0.235*0.3</f>
        <v>1073660.4829240714</v>
      </c>
      <c r="AE306" s="91">
        <f>+T306-AF306-AF306</f>
        <v>13401719.503165714</v>
      </c>
      <c r="AF306" s="91">
        <f>+T306*0.06</f>
        <v>913753.60248857143</v>
      </c>
      <c r="AG306" s="204">
        <v>0</v>
      </c>
    </row>
    <row r="307" spans="1:33" s="103" customFormat="1" ht="90" customHeight="1">
      <c r="A307" s="102">
        <f t="shared" si="52"/>
        <v>286</v>
      </c>
      <c r="B307" s="52"/>
      <c r="C307" s="51" t="s">
        <v>672</v>
      </c>
      <c r="D307" s="35" t="s">
        <v>73</v>
      </c>
      <c r="E307" s="35">
        <v>800010736</v>
      </c>
      <c r="F307" s="36" t="s">
        <v>67</v>
      </c>
      <c r="G307" s="35" t="s">
        <v>48</v>
      </c>
      <c r="H307" s="51" t="s">
        <v>68</v>
      </c>
      <c r="I307" s="34" t="s">
        <v>84</v>
      </c>
      <c r="J307" s="52" t="s">
        <v>84</v>
      </c>
      <c r="K307" s="52"/>
      <c r="L307" s="51" t="s">
        <v>262</v>
      </c>
      <c r="M307" s="51" t="s">
        <v>298</v>
      </c>
      <c r="N307" s="36" t="s">
        <v>50</v>
      </c>
      <c r="O307" s="51"/>
      <c r="P307" s="51" t="s">
        <v>673</v>
      </c>
      <c r="Q307" s="37"/>
      <c r="R307" s="37"/>
      <c r="S307" s="35" t="s">
        <v>52</v>
      </c>
      <c r="T307" s="38">
        <f>+(43*190000)*1.23</f>
        <v>10049100</v>
      </c>
      <c r="U307" s="39">
        <v>275230</v>
      </c>
      <c r="V307" s="131">
        <v>0</v>
      </c>
      <c r="W307" s="38">
        <v>0</v>
      </c>
      <c r="X307" s="38">
        <f>+T307*0.35</f>
        <v>3517185</v>
      </c>
      <c r="Y307" s="38">
        <f>+T307-X307</f>
        <v>6531915</v>
      </c>
      <c r="Z307" s="38">
        <v>0</v>
      </c>
      <c r="AA307" s="91">
        <f>+T307*0.01</f>
        <v>100491</v>
      </c>
      <c r="AB307" s="91">
        <v>0</v>
      </c>
      <c r="AC307" s="91">
        <f>+AA307*1.15</f>
        <v>115564.65</v>
      </c>
      <c r="AD307" s="91">
        <v>0</v>
      </c>
      <c r="AE307" s="91">
        <f>+AC307*1.15</f>
        <v>132899.34749999997</v>
      </c>
      <c r="AF307" s="91">
        <v>0</v>
      </c>
      <c r="AG307" s="204">
        <f>+AE307*1.15</f>
        <v>152834.24962499997</v>
      </c>
    </row>
    <row r="308" spans="1:33" s="103" customFormat="1" ht="90" customHeight="1">
      <c r="A308" s="102">
        <f t="shared" si="52"/>
        <v>287</v>
      </c>
      <c r="B308" s="52"/>
      <c r="C308" s="51" t="s">
        <v>674</v>
      </c>
      <c r="D308" s="35" t="s">
        <v>65</v>
      </c>
      <c r="E308" s="35">
        <v>800016428</v>
      </c>
      <c r="F308" s="36" t="s">
        <v>67</v>
      </c>
      <c r="G308" s="35" t="s">
        <v>48</v>
      </c>
      <c r="H308" s="51" t="s">
        <v>68</v>
      </c>
      <c r="I308" s="34" t="s">
        <v>410</v>
      </c>
      <c r="J308" s="52" t="s">
        <v>70</v>
      </c>
      <c r="K308" s="52" t="s">
        <v>60</v>
      </c>
      <c r="L308" s="51" t="s">
        <v>262</v>
      </c>
      <c r="M308" s="51" t="s">
        <v>298</v>
      </c>
      <c r="N308" s="36" t="s">
        <v>50</v>
      </c>
      <c r="O308" s="51"/>
      <c r="P308" s="51" t="s">
        <v>675</v>
      </c>
      <c r="Q308" s="37"/>
      <c r="R308" s="37"/>
      <c r="S308" s="35" t="s">
        <v>96</v>
      </c>
      <c r="T308" s="38">
        <f>+(15*190000)*1.23</f>
        <v>3505500</v>
      </c>
      <c r="U308" s="39"/>
      <c r="V308" s="131"/>
      <c r="W308" s="38">
        <v>0</v>
      </c>
      <c r="X308" s="38">
        <v>0</v>
      </c>
      <c r="Y308" s="132">
        <f>+T308*0.235*0.3</f>
        <v>247137.75</v>
      </c>
      <c r="Z308" s="38">
        <f>+T308-Y308-AA308</f>
        <v>3258362.25</v>
      </c>
      <c r="AA308" s="91">
        <v>0</v>
      </c>
      <c r="AB308" s="91">
        <f>+T308*0.01</f>
        <v>35055</v>
      </c>
      <c r="AC308" s="91">
        <v>0</v>
      </c>
      <c r="AD308" s="91">
        <f>+AB308*1.15</f>
        <v>40313.25</v>
      </c>
      <c r="AE308" s="91">
        <v>0</v>
      </c>
      <c r="AF308" s="91">
        <f>+AD308*1.15</f>
        <v>46360.237499999996</v>
      </c>
      <c r="AG308" s="204">
        <v>0</v>
      </c>
    </row>
    <row r="309" spans="1:33" s="103" customFormat="1" ht="90" customHeight="1">
      <c r="A309" s="102">
        <f t="shared" si="52"/>
        <v>288</v>
      </c>
      <c r="B309" s="52"/>
      <c r="C309" s="51" t="s">
        <v>676</v>
      </c>
      <c r="D309" s="35" t="s">
        <v>73</v>
      </c>
      <c r="E309" s="35">
        <v>800014761</v>
      </c>
      <c r="F309" s="36" t="s">
        <v>67</v>
      </c>
      <c r="G309" s="35" t="s">
        <v>48</v>
      </c>
      <c r="H309" s="51" t="s">
        <v>68</v>
      </c>
      <c r="I309" s="34" t="s">
        <v>150</v>
      </c>
      <c r="J309" s="52" t="s">
        <v>84</v>
      </c>
      <c r="K309" s="52"/>
      <c r="L309" s="51" t="s">
        <v>262</v>
      </c>
      <c r="M309" s="51" t="s">
        <v>298</v>
      </c>
      <c r="N309" s="36" t="s">
        <v>50</v>
      </c>
      <c r="O309" s="51"/>
      <c r="P309" s="51" t="s">
        <v>677</v>
      </c>
      <c r="Q309" s="37"/>
      <c r="R309" s="37"/>
      <c r="S309" s="35" t="s">
        <v>96</v>
      </c>
      <c r="T309" s="38">
        <f>+(22*190000+450000+270000*3)*1.23</f>
        <v>6691200</v>
      </c>
      <c r="U309" s="39"/>
      <c r="V309" s="131"/>
      <c r="W309" s="38">
        <v>0</v>
      </c>
      <c r="X309" s="38">
        <v>0</v>
      </c>
      <c r="Y309" s="132">
        <f>+T309*0.235*0.3</f>
        <v>471729.6</v>
      </c>
      <c r="Z309" s="38">
        <f>+T309-Y309-AA309</f>
        <v>5884910.4000000004</v>
      </c>
      <c r="AA309" s="91">
        <f>+T309*0.05</f>
        <v>334560</v>
      </c>
      <c r="AB309" s="91">
        <v>0</v>
      </c>
      <c r="AC309" s="91">
        <f>+AA309*0.1</f>
        <v>33456</v>
      </c>
      <c r="AD309" s="91">
        <v>0</v>
      </c>
      <c r="AE309" s="91">
        <f>+AC309*1.15</f>
        <v>38474.399999999994</v>
      </c>
      <c r="AF309" s="91">
        <v>0</v>
      </c>
      <c r="AG309" s="204">
        <f>+AE309*1.15</f>
        <v>44245.55999999999</v>
      </c>
    </row>
    <row r="310" spans="1:33" s="103" customFormat="1" ht="90" customHeight="1">
      <c r="A310" s="102">
        <f t="shared" si="52"/>
        <v>289</v>
      </c>
      <c r="B310" s="52"/>
      <c r="C310" s="51" t="s">
        <v>678</v>
      </c>
      <c r="D310" s="35" t="s">
        <v>73</v>
      </c>
      <c r="E310" s="35">
        <v>800020834</v>
      </c>
      <c r="F310" s="36" t="s">
        <v>67</v>
      </c>
      <c r="G310" s="35" t="s">
        <v>48</v>
      </c>
      <c r="H310" s="51" t="s">
        <v>68</v>
      </c>
      <c r="I310" s="34" t="s">
        <v>579</v>
      </c>
      <c r="J310" s="52" t="s">
        <v>70</v>
      </c>
      <c r="K310" s="52" t="s">
        <v>60</v>
      </c>
      <c r="L310" s="51" t="s">
        <v>262</v>
      </c>
      <c r="M310" s="51" t="s">
        <v>298</v>
      </c>
      <c r="N310" s="36" t="s">
        <v>50</v>
      </c>
      <c r="O310" s="51"/>
      <c r="P310" s="51" t="s">
        <v>679</v>
      </c>
      <c r="Q310" s="37"/>
      <c r="R310" s="37"/>
      <c r="S310" s="35" t="s">
        <v>96</v>
      </c>
      <c r="T310" s="38">
        <f>+(20*190000+450000+270000*3)*1.23</f>
        <v>6223800</v>
      </c>
      <c r="U310" s="39"/>
      <c r="V310" s="131"/>
      <c r="W310" s="38">
        <v>0</v>
      </c>
      <c r="X310" s="38">
        <v>0</v>
      </c>
      <c r="Y310" s="38">
        <v>0</v>
      </c>
      <c r="Z310" s="38">
        <v>0</v>
      </c>
      <c r="AA310" s="91">
        <v>0</v>
      </c>
      <c r="AB310" s="91">
        <v>0</v>
      </c>
      <c r="AC310" s="91">
        <v>0</v>
      </c>
      <c r="AD310" s="91">
        <f>+T310*0.235*0.3</f>
        <v>438777.89999999997</v>
      </c>
      <c r="AE310" s="91">
        <f>+T310-AD310</f>
        <v>5785022.0999999996</v>
      </c>
      <c r="AF310" s="91">
        <v>0</v>
      </c>
      <c r="AG310" s="204">
        <f>+T310*0.01</f>
        <v>62238</v>
      </c>
    </row>
    <row r="311" spans="1:33" s="103" customFormat="1" ht="90" customHeight="1">
      <c r="A311" s="102">
        <f t="shared" si="52"/>
        <v>290</v>
      </c>
      <c r="B311" s="52"/>
      <c r="C311" s="51" t="s">
        <v>680</v>
      </c>
      <c r="D311" s="35" t="s">
        <v>65</v>
      </c>
      <c r="E311" s="35">
        <v>800023598</v>
      </c>
      <c r="F311" s="36" t="s">
        <v>67</v>
      </c>
      <c r="G311" s="35" t="s">
        <v>48</v>
      </c>
      <c r="H311" s="51" t="s">
        <v>68</v>
      </c>
      <c r="I311" s="34" t="s">
        <v>327</v>
      </c>
      <c r="J311" s="52" t="s">
        <v>84</v>
      </c>
      <c r="K311" s="52"/>
      <c r="L311" s="51" t="s">
        <v>262</v>
      </c>
      <c r="M311" s="51" t="s">
        <v>298</v>
      </c>
      <c r="N311" s="36" t="s">
        <v>50</v>
      </c>
      <c r="O311" s="51"/>
      <c r="P311" s="51" t="s">
        <v>681</v>
      </c>
      <c r="Q311" s="37"/>
      <c r="R311" s="37"/>
      <c r="S311" s="35" t="s">
        <v>96</v>
      </c>
      <c r="T311" s="38">
        <f>+(9*190000)*1.23</f>
        <v>2103300</v>
      </c>
      <c r="U311" s="39"/>
      <c r="V311" s="131"/>
      <c r="W311" s="38">
        <v>0</v>
      </c>
      <c r="X311" s="38">
        <v>0</v>
      </c>
      <c r="Y311" s="132">
        <f>+T311*0.235*0.3</f>
        <v>148282.65</v>
      </c>
      <c r="Z311" s="38">
        <f>+T311-Y311</f>
        <v>1955017.35</v>
      </c>
      <c r="AA311" s="91">
        <v>0</v>
      </c>
      <c r="AB311" s="91">
        <v>0</v>
      </c>
      <c r="AC311" s="91">
        <v>0</v>
      </c>
      <c r="AD311" s="91">
        <v>0</v>
      </c>
      <c r="AE311" s="91">
        <v>0</v>
      </c>
      <c r="AF311" s="91">
        <f>+AD311*1.15</f>
        <v>0</v>
      </c>
      <c r="AG311" s="204">
        <f>+AE311*1.15</f>
        <v>0</v>
      </c>
    </row>
    <row r="312" spans="1:33" s="103" customFormat="1" ht="90" customHeight="1">
      <c r="A312" s="102">
        <f t="shared" si="52"/>
        <v>291</v>
      </c>
      <c r="B312" s="52"/>
      <c r="C312" s="51" t="s">
        <v>649</v>
      </c>
      <c r="D312" s="35" t="s">
        <v>73</v>
      </c>
      <c r="E312" s="35">
        <v>800013565</v>
      </c>
      <c r="F312" s="36" t="s">
        <v>67</v>
      </c>
      <c r="G312" s="35" t="s">
        <v>48</v>
      </c>
      <c r="H312" s="51" t="s">
        <v>68</v>
      </c>
      <c r="I312" s="34" t="s">
        <v>327</v>
      </c>
      <c r="J312" s="52" t="s">
        <v>84</v>
      </c>
      <c r="K312" s="52"/>
      <c r="L312" s="51" t="s">
        <v>262</v>
      </c>
      <c r="M312" s="51" t="s">
        <v>298</v>
      </c>
      <c r="N312" s="36" t="s">
        <v>50</v>
      </c>
      <c r="O312" s="51"/>
      <c r="P312" s="51" t="s">
        <v>682</v>
      </c>
      <c r="Q312" s="37"/>
      <c r="R312" s="37"/>
      <c r="S312" s="35" t="s">
        <v>52</v>
      </c>
      <c r="T312" s="38">
        <f>+(20*190000+16*10000+1350000)*1.23</f>
        <v>6531300</v>
      </c>
      <c r="U312" s="39"/>
      <c r="V312" s="131"/>
      <c r="W312" s="38">
        <v>0</v>
      </c>
      <c r="X312" s="38">
        <f>+T312*0.35</f>
        <v>2285955</v>
      </c>
      <c r="Y312" s="38">
        <f>+T312-X312</f>
        <v>4245345</v>
      </c>
      <c r="Z312" s="38">
        <v>0</v>
      </c>
      <c r="AA312" s="91">
        <f>+T312*0.01</f>
        <v>65313</v>
      </c>
      <c r="AB312" s="91">
        <v>0</v>
      </c>
      <c r="AC312" s="91">
        <f>+AA312*1.15</f>
        <v>75109.95</v>
      </c>
      <c r="AD312" s="91">
        <v>0</v>
      </c>
      <c r="AE312" s="91">
        <f>+AC312*1.15</f>
        <v>86376.44249999999</v>
      </c>
      <c r="AF312" s="91">
        <v>0</v>
      </c>
      <c r="AG312" s="204">
        <f>+AE312*1.15</f>
        <v>99332.908874999979</v>
      </c>
    </row>
    <row r="313" spans="1:33" s="103" customFormat="1" ht="90" customHeight="1">
      <c r="A313" s="102">
        <f t="shared" si="52"/>
        <v>292</v>
      </c>
      <c r="B313" s="52"/>
      <c r="C313" s="51" t="s">
        <v>683</v>
      </c>
      <c r="D313" s="35" t="s">
        <v>73</v>
      </c>
      <c r="E313" s="35">
        <v>800007872</v>
      </c>
      <c r="F313" s="36" t="s">
        <v>67</v>
      </c>
      <c r="G313" s="35" t="s">
        <v>48</v>
      </c>
      <c r="H313" s="51" t="s">
        <v>68</v>
      </c>
      <c r="I313" s="34" t="s">
        <v>150</v>
      </c>
      <c r="J313" s="52" t="s">
        <v>84</v>
      </c>
      <c r="K313" s="52"/>
      <c r="L313" s="51" t="s">
        <v>262</v>
      </c>
      <c r="M313" s="51" t="s">
        <v>298</v>
      </c>
      <c r="N313" s="36" t="s">
        <v>50</v>
      </c>
      <c r="O313" s="51"/>
      <c r="P313" s="51" t="s">
        <v>684</v>
      </c>
      <c r="Q313" s="37"/>
      <c r="R313" s="37"/>
      <c r="S313" s="35" t="s">
        <v>96</v>
      </c>
      <c r="T313" s="38">
        <f>+(26*190000+19*10000)*1.23</f>
        <v>6309900</v>
      </c>
      <c r="U313" s="39"/>
      <c r="V313" s="131"/>
      <c r="W313" s="38">
        <v>0</v>
      </c>
      <c r="X313" s="38">
        <v>0</v>
      </c>
      <c r="Y313" s="38">
        <v>0</v>
      </c>
      <c r="Z313" s="38">
        <v>0</v>
      </c>
      <c r="AA313" s="91">
        <f>+T313*0.235*0.3</f>
        <v>444847.95</v>
      </c>
      <c r="AB313" s="91">
        <f>T313-AA313-AC313</f>
        <v>5486458.0499999998</v>
      </c>
      <c r="AC313" s="91">
        <f>+T313*0.06</f>
        <v>378594</v>
      </c>
      <c r="AD313" s="91">
        <v>0</v>
      </c>
      <c r="AE313" s="91">
        <f>+T313*0.01</f>
        <v>63099</v>
      </c>
      <c r="AF313" s="91">
        <v>0</v>
      </c>
      <c r="AG313" s="204">
        <f>+AE313*1.15</f>
        <v>72563.849999999991</v>
      </c>
    </row>
    <row r="314" spans="1:33" s="103" customFormat="1" ht="90" customHeight="1">
      <c r="A314" s="102">
        <f t="shared" si="52"/>
        <v>293</v>
      </c>
      <c r="B314" s="52"/>
      <c r="C314" s="51" t="s">
        <v>569</v>
      </c>
      <c r="D314" s="35" t="s">
        <v>65</v>
      </c>
      <c r="E314" s="35">
        <v>800008987</v>
      </c>
      <c r="F314" s="36" t="s">
        <v>67</v>
      </c>
      <c r="G314" s="35" t="s">
        <v>48</v>
      </c>
      <c r="H314" s="51" t="s">
        <v>68</v>
      </c>
      <c r="I314" s="34" t="s">
        <v>257</v>
      </c>
      <c r="J314" s="52" t="s">
        <v>258</v>
      </c>
      <c r="K314" s="52"/>
      <c r="L314" s="51" t="s">
        <v>262</v>
      </c>
      <c r="M314" s="51" t="s">
        <v>298</v>
      </c>
      <c r="N314" s="36" t="s">
        <v>50</v>
      </c>
      <c r="O314" s="51"/>
      <c r="P314" s="51" t="s">
        <v>685</v>
      </c>
      <c r="Q314" s="37"/>
      <c r="R314" s="37"/>
      <c r="S314" s="35" t="s">
        <v>96</v>
      </c>
      <c r="T314" s="38">
        <f>+(27*190000)*1.23</f>
        <v>6309900</v>
      </c>
      <c r="U314" s="39"/>
      <c r="V314" s="131"/>
      <c r="W314" s="38">
        <v>0</v>
      </c>
      <c r="X314" s="38">
        <v>0</v>
      </c>
      <c r="Y314" s="38">
        <v>0</v>
      </c>
      <c r="Z314" s="38">
        <v>0</v>
      </c>
      <c r="AA314" s="91">
        <f>+T314*0.235*0.3</f>
        <v>444847.95</v>
      </c>
      <c r="AB314" s="91">
        <f>+T314-AA314</f>
        <v>5865052.0499999998</v>
      </c>
      <c r="AC314" s="91">
        <v>0</v>
      </c>
      <c r="AD314" s="91">
        <v>0</v>
      </c>
      <c r="AE314" s="91">
        <v>0</v>
      </c>
      <c r="AF314" s="91">
        <v>0</v>
      </c>
      <c r="AG314" s="204">
        <v>0</v>
      </c>
    </row>
    <row r="315" spans="1:33" s="103" customFormat="1" ht="90" customHeight="1">
      <c r="A315" s="102">
        <f t="shared" si="52"/>
        <v>294</v>
      </c>
      <c r="B315" s="52"/>
      <c r="C315" s="51" t="s">
        <v>686</v>
      </c>
      <c r="D315" s="35" t="s">
        <v>65</v>
      </c>
      <c r="E315" s="35">
        <v>800005538</v>
      </c>
      <c r="F315" s="36" t="s">
        <v>67</v>
      </c>
      <c r="G315" s="35" t="s">
        <v>48</v>
      </c>
      <c r="H315" s="51" t="s">
        <v>68</v>
      </c>
      <c r="I315" s="34" t="s">
        <v>579</v>
      </c>
      <c r="J315" s="52" t="s">
        <v>70</v>
      </c>
      <c r="K315" s="52" t="s">
        <v>60</v>
      </c>
      <c r="L315" s="51" t="s">
        <v>262</v>
      </c>
      <c r="M315" s="51" t="s">
        <v>298</v>
      </c>
      <c r="N315" s="36" t="s">
        <v>50</v>
      </c>
      <c r="O315" s="51"/>
      <c r="P315" s="51" t="s">
        <v>687</v>
      </c>
      <c r="Q315" s="37"/>
      <c r="R315" s="37"/>
      <c r="S315" s="35" t="s">
        <v>52</v>
      </c>
      <c r="T315" s="38">
        <f>+(20*190000+12*10000+1350000)*1.23</f>
        <v>6482100</v>
      </c>
      <c r="U315" s="39"/>
      <c r="V315" s="131"/>
      <c r="W315" s="38">
        <v>0</v>
      </c>
      <c r="X315" s="38">
        <f>+T315*0.35</f>
        <v>2268735</v>
      </c>
      <c r="Y315" s="38">
        <f>+T315-X315</f>
        <v>4213365</v>
      </c>
      <c r="Z315" s="38">
        <v>0</v>
      </c>
      <c r="AA315" s="91">
        <f>+T315*0.01</f>
        <v>64821</v>
      </c>
      <c r="AB315" s="91">
        <v>0</v>
      </c>
      <c r="AC315" s="91">
        <f>+AA315*1.15</f>
        <v>74544.149999999994</v>
      </c>
      <c r="AD315" s="91">
        <v>0</v>
      </c>
      <c r="AE315" s="91">
        <f>+AC315*1.15</f>
        <v>85725.772499999992</v>
      </c>
      <c r="AF315" s="91">
        <v>0</v>
      </c>
      <c r="AG315" s="204">
        <f>+AE315*1.15</f>
        <v>98584.63837499998</v>
      </c>
    </row>
    <row r="316" spans="1:33" s="103" customFormat="1" ht="90" customHeight="1">
      <c r="A316" s="102">
        <f t="shared" si="52"/>
        <v>295</v>
      </c>
      <c r="B316" s="52"/>
      <c r="C316" s="51" t="s">
        <v>688</v>
      </c>
      <c r="D316" s="35" t="s">
        <v>65</v>
      </c>
      <c r="E316" s="35">
        <v>800020982</v>
      </c>
      <c r="F316" s="36" t="s">
        <v>67</v>
      </c>
      <c r="G316" s="35" t="s">
        <v>48</v>
      </c>
      <c r="H316" s="51" t="s">
        <v>68</v>
      </c>
      <c r="I316" s="34" t="s">
        <v>105</v>
      </c>
      <c r="J316" s="52" t="s">
        <v>70</v>
      </c>
      <c r="K316" s="52" t="s">
        <v>60</v>
      </c>
      <c r="L316" s="51" t="s">
        <v>262</v>
      </c>
      <c r="M316" s="51" t="s">
        <v>298</v>
      </c>
      <c r="N316" s="36" t="s">
        <v>50</v>
      </c>
      <c r="O316" s="51"/>
      <c r="P316" s="51" t="s">
        <v>689</v>
      </c>
      <c r="Q316" s="37"/>
      <c r="R316" s="37"/>
      <c r="S316" s="35" t="s">
        <v>96</v>
      </c>
      <c r="T316" s="38">
        <f>+(14*190000+16*10000)*1.23</f>
        <v>3468600</v>
      </c>
      <c r="U316" s="39"/>
      <c r="V316" s="131"/>
      <c r="W316" s="38">
        <v>0</v>
      </c>
      <c r="X316" s="38">
        <v>0</v>
      </c>
      <c r="Y316" s="38">
        <v>0</v>
      </c>
      <c r="Z316" s="38">
        <v>0</v>
      </c>
      <c r="AA316" s="91">
        <v>0</v>
      </c>
      <c r="AB316" s="91">
        <v>0</v>
      </c>
      <c r="AC316" s="91">
        <v>0</v>
      </c>
      <c r="AD316" s="91">
        <f>+T316*0.235*0.3</f>
        <v>244536.3</v>
      </c>
      <c r="AE316" s="91">
        <f>+T316-AD316</f>
        <v>3224063.7</v>
      </c>
      <c r="AF316" s="91">
        <v>0</v>
      </c>
      <c r="AG316" s="204">
        <v>0</v>
      </c>
    </row>
    <row r="317" spans="1:33" s="103" customFormat="1" ht="90" customHeight="1">
      <c r="A317" s="102">
        <f t="shared" si="52"/>
        <v>296</v>
      </c>
      <c r="B317" s="52"/>
      <c r="C317" s="51" t="s">
        <v>690</v>
      </c>
      <c r="D317" s="35" t="s">
        <v>65</v>
      </c>
      <c r="E317" s="35">
        <v>800024810</v>
      </c>
      <c r="F317" s="36" t="s">
        <v>67</v>
      </c>
      <c r="G317" s="35" t="s">
        <v>48</v>
      </c>
      <c r="H317" s="51" t="s">
        <v>68</v>
      </c>
      <c r="I317" s="34" t="s">
        <v>576</v>
      </c>
      <c r="J317" s="52" t="s">
        <v>84</v>
      </c>
      <c r="K317" s="52"/>
      <c r="L317" s="51" t="s">
        <v>262</v>
      </c>
      <c r="M317" s="51" t="s">
        <v>298</v>
      </c>
      <c r="N317" s="36" t="s">
        <v>50</v>
      </c>
      <c r="O317" s="51"/>
      <c r="P317" s="51" t="s">
        <v>691</v>
      </c>
      <c r="Q317" s="37"/>
      <c r="R317" s="37"/>
      <c r="S317" s="35" t="s">
        <v>96</v>
      </c>
      <c r="T317" s="38">
        <f>+(16*190000)*1.23</f>
        <v>3739200</v>
      </c>
      <c r="U317" s="39"/>
      <c r="V317" s="131"/>
      <c r="W317" s="38">
        <v>0</v>
      </c>
      <c r="X317" s="38">
        <v>0</v>
      </c>
      <c r="Y317" s="38">
        <v>0</v>
      </c>
      <c r="Z317" s="38">
        <v>0</v>
      </c>
      <c r="AA317" s="91">
        <f>+T317*0.235*0.3</f>
        <v>263613.59999999998</v>
      </c>
      <c r="AB317" s="91">
        <f>+T317-AA317-AC317</f>
        <v>3251234.4</v>
      </c>
      <c r="AC317" s="91">
        <f>+T317*0.06</f>
        <v>224352</v>
      </c>
      <c r="AD317" s="91">
        <v>0</v>
      </c>
      <c r="AE317" s="91">
        <f>+T317*0.01</f>
        <v>37392</v>
      </c>
      <c r="AF317" s="91">
        <v>0</v>
      </c>
      <c r="AG317" s="204">
        <f>+AE317*1.15</f>
        <v>43000.799999999996</v>
      </c>
    </row>
    <row r="318" spans="1:33" s="103" customFormat="1" ht="90" customHeight="1">
      <c r="A318" s="102">
        <f t="shared" si="52"/>
        <v>297</v>
      </c>
      <c r="B318" s="52"/>
      <c r="C318" s="51" t="s">
        <v>598</v>
      </c>
      <c r="D318" s="35" t="s">
        <v>73</v>
      </c>
      <c r="E318" s="35">
        <v>800034157</v>
      </c>
      <c r="F318" s="36" t="s">
        <v>67</v>
      </c>
      <c r="G318" s="35" t="s">
        <v>48</v>
      </c>
      <c r="H318" s="51" t="s">
        <v>68</v>
      </c>
      <c r="I318" s="34" t="s">
        <v>90</v>
      </c>
      <c r="J318" s="52" t="s">
        <v>84</v>
      </c>
      <c r="K318" s="52"/>
      <c r="L318" s="51" t="s">
        <v>262</v>
      </c>
      <c r="M318" s="51" t="s">
        <v>298</v>
      </c>
      <c r="N318" s="36" t="s">
        <v>50</v>
      </c>
      <c r="O318" s="51"/>
      <c r="P318" s="51" t="s">
        <v>692</v>
      </c>
      <c r="Q318" s="37"/>
      <c r="R318" s="37"/>
      <c r="S318" s="35" t="s">
        <v>96</v>
      </c>
      <c r="T318" s="38">
        <f>+(22*190000+450000)*1.23</f>
        <v>5694900</v>
      </c>
      <c r="U318" s="39"/>
      <c r="V318" s="131"/>
      <c r="W318" s="38">
        <v>0</v>
      </c>
      <c r="X318" s="38">
        <v>0</v>
      </c>
      <c r="Y318" s="38">
        <v>0</v>
      </c>
      <c r="Z318" s="38">
        <v>0</v>
      </c>
      <c r="AA318" s="91">
        <v>0</v>
      </c>
      <c r="AB318" s="91">
        <f>+T318*0.235*0.3</f>
        <v>401490.45</v>
      </c>
      <c r="AC318" s="91">
        <f>+T318-AB318</f>
        <v>5293409.55</v>
      </c>
      <c r="AD318" s="91">
        <v>0</v>
      </c>
      <c r="AE318" s="91">
        <f>+T318*0.01</f>
        <v>56949</v>
      </c>
      <c r="AF318" s="91">
        <v>0</v>
      </c>
      <c r="AG318" s="204">
        <f>+AE318*1.15</f>
        <v>65491.35</v>
      </c>
    </row>
    <row r="319" spans="1:33" s="103" customFormat="1" ht="90" customHeight="1">
      <c r="A319" s="102">
        <f t="shared" si="52"/>
        <v>298</v>
      </c>
      <c r="B319" s="52"/>
      <c r="C319" s="51" t="s">
        <v>441</v>
      </c>
      <c r="D319" s="35" t="s">
        <v>65</v>
      </c>
      <c r="E319" s="35">
        <v>800020206</v>
      </c>
      <c r="F319" s="36" t="s">
        <v>67</v>
      </c>
      <c r="G319" s="35" t="s">
        <v>48</v>
      </c>
      <c r="H319" s="51" t="s">
        <v>68</v>
      </c>
      <c r="I319" s="34" t="s">
        <v>69</v>
      </c>
      <c r="J319" s="52" t="s">
        <v>70</v>
      </c>
      <c r="K319" s="52" t="s">
        <v>60</v>
      </c>
      <c r="L319" s="51" t="s">
        <v>262</v>
      </c>
      <c r="M319" s="51" t="s">
        <v>298</v>
      </c>
      <c r="N319" s="36" t="s">
        <v>50</v>
      </c>
      <c r="O319" s="51"/>
      <c r="P319" s="51" t="s">
        <v>693</v>
      </c>
      <c r="Q319" s="37"/>
      <c r="R319" s="37"/>
      <c r="S319" s="35" t="s">
        <v>96</v>
      </c>
      <c r="T319" s="38">
        <f>+(16*190000+28*10000)*1.23</f>
        <v>4083600</v>
      </c>
      <c r="U319" s="39"/>
      <c r="V319" s="131"/>
      <c r="W319" s="38">
        <v>0</v>
      </c>
      <c r="X319" s="38">
        <v>0</v>
      </c>
      <c r="Y319" s="38">
        <v>0</v>
      </c>
      <c r="Z319" s="38">
        <v>0</v>
      </c>
      <c r="AA319" s="91">
        <f>+T319*0.235*0.3</f>
        <v>287893.8</v>
      </c>
      <c r="AB319" s="91">
        <f>+T319-AA319-AC319</f>
        <v>3550690.2</v>
      </c>
      <c r="AC319" s="91">
        <f>+T319*0.06</f>
        <v>245016</v>
      </c>
      <c r="AD319" s="91">
        <v>0</v>
      </c>
      <c r="AE319" s="91">
        <f>+T319*0.01</f>
        <v>40836</v>
      </c>
      <c r="AF319" s="91">
        <v>0</v>
      </c>
      <c r="AG319" s="204">
        <f>+AE319*1.15</f>
        <v>46961.399999999994</v>
      </c>
    </row>
    <row r="320" spans="1:33" s="103" customFormat="1" ht="90" customHeight="1">
      <c r="A320" s="102">
        <f t="shared" si="52"/>
        <v>299</v>
      </c>
      <c r="B320" s="52"/>
      <c r="C320" s="51" t="s">
        <v>694</v>
      </c>
      <c r="D320" s="35" t="s">
        <v>73</v>
      </c>
      <c r="E320" s="35">
        <v>800007633</v>
      </c>
      <c r="F320" s="36" t="s">
        <v>67</v>
      </c>
      <c r="G320" s="35" t="s">
        <v>48</v>
      </c>
      <c r="H320" s="51" t="s">
        <v>68</v>
      </c>
      <c r="I320" s="34" t="s">
        <v>622</v>
      </c>
      <c r="J320" s="52" t="s">
        <v>84</v>
      </c>
      <c r="K320" s="52"/>
      <c r="L320" s="51" t="s">
        <v>262</v>
      </c>
      <c r="M320" s="51" t="s">
        <v>298</v>
      </c>
      <c r="N320" s="36" t="s">
        <v>50</v>
      </c>
      <c r="O320" s="51"/>
      <c r="P320" s="51" t="s">
        <v>695</v>
      </c>
      <c r="Q320" s="37"/>
      <c r="R320" s="37"/>
      <c r="S320" s="35" t="s">
        <v>96</v>
      </c>
      <c r="T320" s="38">
        <f>+(5*190000+250000)*1.23</f>
        <v>1476000</v>
      </c>
      <c r="U320" s="39"/>
      <c r="V320" s="131"/>
      <c r="W320" s="38">
        <v>0</v>
      </c>
      <c r="X320" s="38">
        <v>0</v>
      </c>
      <c r="Y320" s="38">
        <v>0</v>
      </c>
      <c r="Z320" s="38">
        <v>0</v>
      </c>
      <c r="AA320" s="91">
        <f>+T320</f>
        <v>1476000</v>
      </c>
      <c r="AB320" s="91">
        <v>0</v>
      </c>
      <c r="AC320" s="91">
        <v>0</v>
      </c>
      <c r="AD320" s="91">
        <v>0</v>
      </c>
      <c r="AE320" s="91">
        <v>0</v>
      </c>
      <c r="AF320" s="91">
        <v>0</v>
      </c>
      <c r="AG320" s="204">
        <v>0</v>
      </c>
    </row>
    <row r="321" spans="1:34" s="103" customFormat="1" ht="90" customHeight="1">
      <c r="A321" s="102">
        <f t="shared" si="52"/>
        <v>300</v>
      </c>
      <c r="B321" s="52"/>
      <c r="C321" s="51" t="s">
        <v>696</v>
      </c>
      <c r="D321" s="35" t="s">
        <v>96</v>
      </c>
      <c r="E321" s="35">
        <v>800008599</v>
      </c>
      <c r="F321" s="36" t="s">
        <v>67</v>
      </c>
      <c r="G321" s="35" t="s">
        <v>48</v>
      </c>
      <c r="H321" s="51" t="s">
        <v>68</v>
      </c>
      <c r="I321" s="34" t="s">
        <v>150</v>
      </c>
      <c r="J321" s="52" t="s">
        <v>84</v>
      </c>
      <c r="K321" s="52"/>
      <c r="L321" s="51" t="s">
        <v>262</v>
      </c>
      <c r="M321" s="51" t="s">
        <v>298</v>
      </c>
      <c r="N321" s="36" t="s">
        <v>50</v>
      </c>
      <c r="O321" s="51"/>
      <c r="P321" s="51" t="s">
        <v>697</v>
      </c>
      <c r="Q321" s="37"/>
      <c r="R321" s="37"/>
      <c r="S321" s="35" t="s">
        <v>96</v>
      </c>
      <c r="T321" s="38">
        <f>+(12*190000+12*10000)*1.23</f>
        <v>2952000</v>
      </c>
      <c r="U321" s="39"/>
      <c r="V321" s="131"/>
      <c r="W321" s="38">
        <v>0</v>
      </c>
      <c r="X321" s="38">
        <v>0</v>
      </c>
      <c r="Y321" s="38">
        <v>0</v>
      </c>
      <c r="Z321" s="38">
        <f>+T321*0.235*0.3</f>
        <v>208116</v>
      </c>
      <c r="AA321" s="91">
        <f>+T321-Z321</f>
        <v>2743884</v>
      </c>
      <c r="AB321" s="91">
        <v>0</v>
      </c>
      <c r="AC321" s="91">
        <v>0</v>
      </c>
      <c r="AD321" s="91">
        <v>0</v>
      </c>
      <c r="AE321" s="91">
        <v>0</v>
      </c>
      <c r="AF321" s="91">
        <v>0</v>
      </c>
      <c r="AG321" s="204">
        <v>0</v>
      </c>
    </row>
    <row r="322" spans="1:34" s="103" customFormat="1" ht="90" customHeight="1">
      <c r="A322" s="102">
        <f t="shared" si="52"/>
        <v>301</v>
      </c>
      <c r="B322" s="52"/>
      <c r="C322" s="51" t="s">
        <v>698</v>
      </c>
      <c r="D322" s="35" t="s">
        <v>65</v>
      </c>
      <c r="E322" s="35">
        <v>800004044</v>
      </c>
      <c r="F322" s="36" t="s">
        <v>67</v>
      </c>
      <c r="G322" s="35" t="s">
        <v>48</v>
      </c>
      <c r="H322" s="51" t="s">
        <v>68</v>
      </c>
      <c r="I322" s="34" t="s">
        <v>410</v>
      </c>
      <c r="J322" s="52" t="s">
        <v>70</v>
      </c>
      <c r="K322" s="52" t="s">
        <v>60</v>
      </c>
      <c r="L322" s="51" t="s">
        <v>262</v>
      </c>
      <c r="M322" s="51" t="s">
        <v>298</v>
      </c>
      <c r="N322" s="36" t="s">
        <v>50</v>
      </c>
      <c r="O322" s="51"/>
      <c r="P322" s="51" t="s">
        <v>699</v>
      </c>
      <c r="Q322" s="37"/>
      <c r="R322" s="37"/>
      <c r="S322" s="35" t="s">
        <v>52</v>
      </c>
      <c r="T322" s="38">
        <f>+(10*10000)*1.23</f>
        <v>123000</v>
      </c>
      <c r="U322" s="39"/>
      <c r="V322" s="131"/>
      <c r="W322" s="38">
        <v>0</v>
      </c>
      <c r="X322" s="38">
        <f>+T322</f>
        <v>123000</v>
      </c>
      <c r="Y322" s="38">
        <v>0</v>
      </c>
      <c r="Z322" s="38">
        <v>0</v>
      </c>
      <c r="AA322" s="91">
        <v>0</v>
      </c>
      <c r="AB322" s="91">
        <v>0</v>
      </c>
      <c r="AC322" s="91">
        <v>0</v>
      </c>
      <c r="AD322" s="91">
        <v>0</v>
      </c>
      <c r="AE322" s="91">
        <v>0</v>
      </c>
      <c r="AF322" s="91">
        <v>0</v>
      </c>
      <c r="AG322" s="204">
        <v>0</v>
      </c>
    </row>
    <row r="323" spans="1:34" s="103" customFormat="1" ht="90" customHeight="1">
      <c r="A323" s="102">
        <f t="shared" si="52"/>
        <v>302</v>
      </c>
      <c r="B323" s="52"/>
      <c r="C323" s="51" t="s">
        <v>700</v>
      </c>
      <c r="D323" s="35" t="s">
        <v>65</v>
      </c>
      <c r="E323" s="35">
        <v>800019778</v>
      </c>
      <c r="F323" s="36" t="s">
        <v>67</v>
      </c>
      <c r="G323" s="35" t="s">
        <v>48</v>
      </c>
      <c r="H323" s="51" t="s">
        <v>68</v>
      </c>
      <c r="I323" s="34" t="s">
        <v>619</v>
      </c>
      <c r="J323" s="52" t="s">
        <v>84</v>
      </c>
      <c r="K323" s="52"/>
      <c r="L323" s="51" t="s">
        <v>262</v>
      </c>
      <c r="M323" s="51" t="s">
        <v>298</v>
      </c>
      <c r="N323" s="36" t="s">
        <v>50</v>
      </c>
      <c r="O323" s="51"/>
      <c r="P323" s="51" t="s">
        <v>613</v>
      </c>
      <c r="Q323" s="37"/>
      <c r="R323" s="37"/>
      <c r="S323" s="35" t="s">
        <v>96</v>
      </c>
      <c r="T323" s="38">
        <f>+(12*190000)*1.23</f>
        <v>2804400</v>
      </c>
      <c r="U323" s="39"/>
      <c r="V323" s="131"/>
      <c r="W323" s="38">
        <v>0</v>
      </c>
      <c r="X323" s="38">
        <v>0</v>
      </c>
      <c r="Y323" s="38">
        <v>0</v>
      </c>
      <c r="Z323" s="38">
        <v>0</v>
      </c>
      <c r="AA323" s="91">
        <v>0</v>
      </c>
      <c r="AB323" s="91">
        <f>+T323*0.235*0.3</f>
        <v>197710.19999999998</v>
      </c>
      <c r="AC323" s="91">
        <f>+T323-AB323-AD323</f>
        <v>2438425.7999999998</v>
      </c>
      <c r="AD323" s="91">
        <f>+T323*0.06</f>
        <v>168264</v>
      </c>
      <c r="AE323" s="91">
        <v>0</v>
      </c>
      <c r="AF323" s="91">
        <f>+T323*0.01</f>
        <v>28044</v>
      </c>
      <c r="AG323" s="204">
        <v>0</v>
      </c>
    </row>
    <row r="324" spans="1:34" s="103" customFormat="1" ht="90" customHeight="1">
      <c r="A324" s="102">
        <f t="shared" si="52"/>
        <v>303</v>
      </c>
      <c r="B324" s="52"/>
      <c r="C324" s="51" t="s">
        <v>701</v>
      </c>
      <c r="D324" s="35" t="s">
        <v>65</v>
      </c>
      <c r="E324" s="35">
        <v>800025742</v>
      </c>
      <c r="F324" s="36" t="s">
        <v>67</v>
      </c>
      <c r="G324" s="35" t="s">
        <v>48</v>
      </c>
      <c r="H324" s="51" t="s">
        <v>68</v>
      </c>
      <c r="I324" s="34" t="s">
        <v>619</v>
      </c>
      <c r="J324" s="52" t="s">
        <v>84</v>
      </c>
      <c r="K324" s="52"/>
      <c r="L324" s="51" t="s">
        <v>262</v>
      </c>
      <c r="M324" s="51" t="s">
        <v>298</v>
      </c>
      <c r="N324" s="36" t="s">
        <v>50</v>
      </c>
      <c r="O324" s="51"/>
      <c r="P324" s="51" t="s">
        <v>702</v>
      </c>
      <c r="Q324" s="37"/>
      <c r="R324" s="37"/>
      <c r="S324" s="35" t="s">
        <v>96</v>
      </c>
      <c r="T324" s="38">
        <f>+(14*190000+450000+10*10000+1350000)*1.23</f>
        <v>5608800</v>
      </c>
      <c r="U324" s="39"/>
      <c r="V324" s="131"/>
      <c r="W324" s="38">
        <v>0</v>
      </c>
      <c r="X324" s="38">
        <v>0</v>
      </c>
      <c r="Y324" s="38">
        <v>0</v>
      </c>
      <c r="Z324" s="38">
        <v>0</v>
      </c>
      <c r="AA324" s="91">
        <f>+T324*0.235*0.3</f>
        <v>395420.39999999997</v>
      </c>
      <c r="AB324" s="91">
        <f>+T324-AA324-AC324</f>
        <v>4876851.5999999996</v>
      </c>
      <c r="AC324" s="91">
        <f>+T324*0.06</f>
        <v>336528</v>
      </c>
      <c r="AD324" s="91">
        <v>0</v>
      </c>
      <c r="AE324" s="91">
        <f>+T324*0.01</f>
        <v>56088</v>
      </c>
      <c r="AF324" s="91">
        <v>0</v>
      </c>
      <c r="AG324" s="204">
        <f>+AE324*1.15</f>
        <v>64501.2</v>
      </c>
    </row>
    <row r="325" spans="1:34" s="103" customFormat="1" ht="90" customHeight="1">
      <c r="A325" s="102">
        <f t="shared" si="52"/>
        <v>304</v>
      </c>
      <c r="B325" s="52"/>
      <c r="C325" s="51" t="s">
        <v>629</v>
      </c>
      <c r="D325" s="35" t="s">
        <v>65</v>
      </c>
      <c r="E325" s="35">
        <v>800015719</v>
      </c>
      <c r="F325" s="36" t="s">
        <v>67</v>
      </c>
      <c r="G325" s="35" t="s">
        <v>48</v>
      </c>
      <c r="H325" s="51" t="s">
        <v>68</v>
      </c>
      <c r="I325" s="34" t="s">
        <v>90</v>
      </c>
      <c r="J325" s="52" t="s">
        <v>84</v>
      </c>
      <c r="K325" s="52"/>
      <c r="L325" s="51" t="s">
        <v>262</v>
      </c>
      <c r="M325" s="51" t="s">
        <v>298</v>
      </c>
      <c r="N325" s="36" t="s">
        <v>50</v>
      </c>
      <c r="O325" s="51"/>
      <c r="P325" s="51" t="s">
        <v>703</v>
      </c>
      <c r="Q325" s="37"/>
      <c r="R325" s="37"/>
      <c r="S325" s="35" t="s">
        <v>96</v>
      </c>
      <c r="T325" s="38">
        <f>+(10*190000+6*10000)*1.23</f>
        <v>2410800</v>
      </c>
      <c r="U325" s="39"/>
      <c r="V325" s="131"/>
      <c r="W325" s="38">
        <v>0</v>
      </c>
      <c r="X325" s="38">
        <v>0</v>
      </c>
      <c r="Y325" s="132">
        <f>+T325</f>
        <v>2410800</v>
      </c>
      <c r="Z325" s="38">
        <v>0</v>
      </c>
      <c r="AA325" s="91">
        <v>0</v>
      </c>
      <c r="AB325" s="91">
        <v>0</v>
      </c>
      <c r="AC325" s="91">
        <v>0</v>
      </c>
      <c r="AD325" s="91">
        <v>0</v>
      </c>
      <c r="AE325" s="91">
        <v>0</v>
      </c>
      <c r="AF325" s="91">
        <v>0</v>
      </c>
      <c r="AG325" s="204">
        <v>0</v>
      </c>
    </row>
    <row r="326" spans="1:34" s="103" customFormat="1" ht="90" customHeight="1">
      <c r="A326" s="102">
        <f t="shared" si="52"/>
        <v>305</v>
      </c>
      <c r="B326" s="52"/>
      <c r="C326" s="51" t="s">
        <v>704</v>
      </c>
      <c r="D326" s="35" t="s">
        <v>65</v>
      </c>
      <c r="E326" s="35">
        <v>800003848</v>
      </c>
      <c r="F326" s="36" t="s">
        <v>67</v>
      </c>
      <c r="G326" s="35" t="s">
        <v>48</v>
      </c>
      <c r="H326" s="51" t="s">
        <v>68</v>
      </c>
      <c r="I326" s="34" t="s">
        <v>253</v>
      </c>
      <c r="J326" s="52" t="s">
        <v>70</v>
      </c>
      <c r="K326" s="52" t="s">
        <v>60</v>
      </c>
      <c r="L326" s="51" t="s">
        <v>262</v>
      </c>
      <c r="M326" s="51" t="s">
        <v>298</v>
      </c>
      <c r="N326" s="36" t="s">
        <v>50</v>
      </c>
      <c r="O326" s="51"/>
      <c r="P326" s="51" t="s">
        <v>705</v>
      </c>
      <c r="Q326" s="37"/>
      <c r="R326" s="37"/>
      <c r="S326" s="35" t="s">
        <v>96</v>
      </c>
      <c r="T326" s="38">
        <f>+(16*190000+450000+12*10000+140000)*1.23</f>
        <v>4612500</v>
      </c>
      <c r="U326" s="39"/>
      <c r="V326" s="131"/>
      <c r="W326" s="38">
        <v>0</v>
      </c>
      <c r="X326" s="38">
        <v>0</v>
      </c>
      <c r="Y326" s="38">
        <v>0</v>
      </c>
      <c r="Z326" s="38">
        <f>+T326*0.235*0.3</f>
        <v>325181.25</v>
      </c>
      <c r="AA326" s="91">
        <f>+T326-Z326-AB326</f>
        <v>4287318.75</v>
      </c>
      <c r="AB326" s="91">
        <v>0</v>
      </c>
      <c r="AC326" s="91">
        <v>0</v>
      </c>
      <c r="AD326" s="91">
        <v>0</v>
      </c>
      <c r="AE326" s="91">
        <v>0</v>
      </c>
      <c r="AF326" s="91">
        <v>0</v>
      </c>
      <c r="AG326" s="204">
        <v>0</v>
      </c>
    </row>
    <row r="327" spans="1:34" s="103" customFormat="1" ht="90" customHeight="1">
      <c r="A327" s="102">
        <f t="shared" si="52"/>
        <v>306</v>
      </c>
      <c r="B327" s="52"/>
      <c r="C327" s="51" t="s">
        <v>706</v>
      </c>
      <c r="D327" s="35" t="s">
        <v>65</v>
      </c>
      <c r="E327" s="35">
        <v>8000013391</v>
      </c>
      <c r="F327" s="36" t="s">
        <v>67</v>
      </c>
      <c r="G327" s="35" t="s">
        <v>48</v>
      </c>
      <c r="H327" s="51" t="s">
        <v>68</v>
      </c>
      <c r="I327" s="34" t="s">
        <v>579</v>
      </c>
      <c r="J327" s="52" t="s">
        <v>70</v>
      </c>
      <c r="K327" s="52" t="s">
        <v>60</v>
      </c>
      <c r="L327" s="51" t="s">
        <v>262</v>
      </c>
      <c r="M327" s="51" t="s">
        <v>298</v>
      </c>
      <c r="N327" s="36" t="s">
        <v>50</v>
      </c>
      <c r="O327" s="51"/>
      <c r="P327" s="51" t="s">
        <v>707</v>
      </c>
      <c r="Q327" s="37"/>
      <c r="R327" s="37"/>
      <c r="S327" s="35" t="s">
        <v>96</v>
      </c>
      <c r="T327" s="38">
        <f>+(17*190000+450000)*1.23</f>
        <v>4526400</v>
      </c>
      <c r="U327" s="39"/>
      <c r="V327" s="131"/>
      <c r="W327" s="38">
        <v>0</v>
      </c>
      <c r="X327" s="38">
        <v>0</v>
      </c>
      <c r="Y327" s="38">
        <v>0</v>
      </c>
      <c r="Z327" s="38">
        <v>0</v>
      </c>
      <c r="AA327" s="91">
        <f>+T327*0.235*0.3</f>
        <v>319111.2</v>
      </c>
      <c r="AB327" s="91">
        <f>+T327-AA327-AC327</f>
        <v>4207288.8</v>
      </c>
      <c r="AC327" s="91">
        <v>0</v>
      </c>
      <c r="AD327" s="91">
        <v>0</v>
      </c>
      <c r="AE327" s="91">
        <v>0</v>
      </c>
      <c r="AF327" s="91">
        <v>0</v>
      </c>
      <c r="AG327" s="204">
        <v>0</v>
      </c>
    </row>
    <row r="328" spans="1:34" s="103" customFormat="1" ht="90" customHeight="1">
      <c r="A328" s="102">
        <f t="shared" si="52"/>
        <v>307</v>
      </c>
      <c r="B328" s="52"/>
      <c r="C328" s="51" t="s">
        <v>708</v>
      </c>
      <c r="D328" s="35" t="s">
        <v>73</v>
      </c>
      <c r="E328" s="35">
        <v>800026393</v>
      </c>
      <c r="F328" s="36" t="s">
        <v>67</v>
      </c>
      <c r="G328" s="35" t="s">
        <v>48</v>
      </c>
      <c r="H328" s="51" t="s">
        <v>68</v>
      </c>
      <c r="I328" s="34" t="s">
        <v>579</v>
      </c>
      <c r="J328" s="52" t="s">
        <v>70</v>
      </c>
      <c r="K328" s="52" t="s">
        <v>60</v>
      </c>
      <c r="L328" s="51" t="s">
        <v>262</v>
      </c>
      <c r="M328" s="51" t="s">
        <v>298</v>
      </c>
      <c r="N328" s="36" t="s">
        <v>50</v>
      </c>
      <c r="O328" s="51"/>
      <c r="P328" s="51" t="s">
        <v>709</v>
      </c>
      <c r="Q328" s="37"/>
      <c r="R328" s="37"/>
      <c r="S328" s="35" t="s">
        <v>96</v>
      </c>
      <c r="T328" s="38">
        <f>+(270000)*1.23</f>
        <v>332100</v>
      </c>
      <c r="U328" s="39"/>
      <c r="V328" s="131"/>
      <c r="W328" s="38">
        <v>0</v>
      </c>
      <c r="X328" s="38">
        <v>0</v>
      </c>
      <c r="Y328" s="38">
        <v>0</v>
      </c>
      <c r="Z328" s="38">
        <v>0</v>
      </c>
      <c r="AA328" s="91">
        <v>0</v>
      </c>
      <c r="AB328" s="91">
        <v>0</v>
      </c>
      <c r="AC328" s="91">
        <f>+T328</f>
        <v>332100</v>
      </c>
      <c r="AD328" s="91">
        <v>0</v>
      </c>
      <c r="AE328" s="91">
        <v>0</v>
      </c>
      <c r="AF328" s="91">
        <v>0</v>
      </c>
      <c r="AG328" s="204">
        <v>0</v>
      </c>
    </row>
    <row r="329" spans="1:34" s="103" customFormat="1" ht="90" customHeight="1">
      <c r="A329" s="102">
        <f t="shared" si="52"/>
        <v>308</v>
      </c>
      <c r="B329" s="52"/>
      <c r="C329" s="51" t="s">
        <v>713</v>
      </c>
      <c r="D329" s="35" t="s">
        <v>73</v>
      </c>
      <c r="E329" s="35">
        <v>800035503</v>
      </c>
      <c r="F329" s="36" t="s">
        <v>67</v>
      </c>
      <c r="G329" s="35" t="s">
        <v>48</v>
      </c>
      <c r="H329" s="51" t="s">
        <v>57</v>
      </c>
      <c r="I329" s="34" t="s">
        <v>592</v>
      </c>
      <c r="J329" s="52" t="s">
        <v>158</v>
      </c>
      <c r="K329" s="52"/>
      <c r="L329" s="51" t="s">
        <v>61</v>
      </c>
      <c r="M329" s="51" t="s">
        <v>117</v>
      </c>
      <c r="N329" s="36" t="s">
        <v>50</v>
      </c>
      <c r="O329" s="51"/>
      <c r="P329" s="51" t="s">
        <v>714</v>
      </c>
      <c r="Q329" s="37">
        <v>43191</v>
      </c>
      <c r="R329" s="37">
        <v>43554</v>
      </c>
      <c r="S329" s="35" t="s">
        <v>96</v>
      </c>
      <c r="T329" s="38">
        <f>+(9*((1141850+1714473+2097122)/9)+1247367+1293526+1350713+4298671+300000+929210+18*1022001/14+1350000+1050000+150000)*1.23*1.07</f>
        <v>24001627.89732857</v>
      </c>
      <c r="U329" s="39"/>
      <c r="V329" s="131"/>
      <c r="W329" s="38">
        <v>0</v>
      </c>
      <c r="X329" s="38">
        <v>0</v>
      </c>
      <c r="Y329" s="38">
        <v>0</v>
      </c>
      <c r="Z329" s="38">
        <f>+T329*0.235*0.3</f>
        <v>1692114.7667616641</v>
      </c>
      <c r="AA329" s="91">
        <f>+T329-Z329-AB329</f>
        <v>20869415.456727192</v>
      </c>
      <c r="AB329" s="91">
        <f>+T329*0.06</f>
        <v>1440097.6738397141</v>
      </c>
      <c r="AC329" s="91">
        <v>0</v>
      </c>
      <c r="AD329" s="91">
        <f>+T329*0.01</f>
        <v>240016.27897328572</v>
      </c>
      <c r="AE329" s="91">
        <v>0</v>
      </c>
      <c r="AF329" s="91">
        <f>+AD329*1.15</f>
        <v>276018.72081927856</v>
      </c>
      <c r="AG329" s="204">
        <v>0</v>
      </c>
    </row>
    <row r="330" spans="1:34" s="103" customFormat="1" ht="90" customHeight="1">
      <c r="A330" s="102">
        <f t="shared" si="52"/>
        <v>309</v>
      </c>
      <c r="B330" s="52"/>
      <c r="C330" s="51" t="s">
        <v>715</v>
      </c>
      <c r="D330" s="35" t="s">
        <v>96</v>
      </c>
      <c r="E330" s="35">
        <v>800001909</v>
      </c>
      <c r="F330" s="36" t="s">
        <v>67</v>
      </c>
      <c r="G330" s="35" t="s">
        <v>48</v>
      </c>
      <c r="H330" s="51" t="s">
        <v>57</v>
      </c>
      <c r="I330" s="34" t="s">
        <v>141</v>
      </c>
      <c r="J330" s="52" t="s">
        <v>59</v>
      </c>
      <c r="K330" s="52" t="s">
        <v>60</v>
      </c>
      <c r="L330" s="51" t="s">
        <v>61</v>
      </c>
      <c r="M330" s="51" t="s">
        <v>117</v>
      </c>
      <c r="N330" s="36" t="s">
        <v>50</v>
      </c>
      <c r="O330" s="51"/>
      <c r="P330" s="51" t="s">
        <v>716</v>
      </c>
      <c r="Q330" s="37"/>
      <c r="R330" s="37"/>
      <c r="S330" s="35" t="s">
        <v>96</v>
      </c>
      <c r="T330" s="38">
        <f>+(1823640+8*((1141850+1714473+2097122)/9)+3658606+1247367+1293526+4298671+929210+10*1022001/14+1350000+300000+1050000)*1.23*1.07</f>
        <v>27748761.552738097</v>
      </c>
      <c r="U330" s="39"/>
      <c r="V330" s="131"/>
      <c r="W330" s="38">
        <v>0</v>
      </c>
      <c r="X330" s="38">
        <v>0</v>
      </c>
      <c r="Y330" s="38">
        <v>0</v>
      </c>
      <c r="Z330" s="38">
        <f>+T330*0.235*0.3</f>
        <v>1956287.6894680355</v>
      </c>
      <c r="AA330" s="91">
        <f>+T330-Z330-AB330</f>
        <v>24127548.170105774</v>
      </c>
      <c r="AB330" s="91">
        <f>+T330*0.06</f>
        <v>1664925.6931642857</v>
      </c>
      <c r="AC330" s="91">
        <v>0</v>
      </c>
      <c r="AD330" s="91">
        <f>+T330*0.01</f>
        <v>277487.61552738096</v>
      </c>
      <c r="AE330" s="91">
        <v>0</v>
      </c>
      <c r="AF330" s="91">
        <f>+AD330*1.15</f>
        <v>319110.75785648805</v>
      </c>
      <c r="AG330" s="204">
        <v>0</v>
      </c>
    </row>
    <row r="331" spans="1:34" s="103" customFormat="1" ht="90" customHeight="1">
      <c r="A331" s="102">
        <f t="shared" si="52"/>
        <v>310</v>
      </c>
      <c r="B331" s="52"/>
      <c r="C331" s="51" t="s">
        <v>717</v>
      </c>
      <c r="D331" s="35" t="s">
        <v>73</v>
      </c>
      <c r="E331" s="35">
        <v>800015701</v>
      </c>
      <c r="F331" s="36" t="s">
        <v>67</v>
      </c>
      <c r="G331" s="35" t="s">
        <v>48</v>
      </c>
      <c r="H331" s="51" t="s">
        <v>57</v>
      </c>
      <c r="I331" s="34" t="s">
        <v>379</v>
      </c>
      <c r="J331" s="52" t="s">
        <v>188</v>
      </c>
      <c r="K331" s="52" t="s">
        <v>60</v>
      </c>
      <c r="L331" s="51" t="s">
        <v>61</v>
      </c>
      <c r="M331" s="51" t="s">
        <v>117</v>
      </c>
      <c r="N331" s="36" t="s">
        <v>50</v>
      </c>
      <c r="O331" s="51"/>
      <c r="P331" s="51" t="s">
        <v>1046</v>
      </c>
      <c r="Q331" s="37"/>
      <c r="R331" s="37"/>
      <c r="S331" s="35" t="s">
        <v>96</v>
      </c>
      <c r="T331" s="38">
        <f>+(1247367+1293526+4298671+1350713+929210+10*1022001/14+300000+350000+1050000)*1.23*1.07</f>
        <v>15200280.780771429</v>
      </c>
      <c r="U331" s="39"/>
      <c r="V331" s="131"/>
      <c r="W331" s="38">
        <v>0</v>
      </c>
      <c r="X331" s="38">
        <v>0</v>
      </c>
      <c r="Y331" s="38">
        <v>0</v>
      </c>
      <c r="Z331" s="38">
        <v>0</v>
      </c>
      <c r="AA331" s="91">
        <f>+T331*0.235*0.3</f>
        <v>1071619.7950443856</v>
      </c>
      <c r="AB331" s="91">
        <f>+T331-AA331-AC331</f>
        <v>13216644.138880758</v>
      </c>
      <c r="AC331" s="91">
        <f>+T331*0.06</f>
        <v>912016.84684628574</v>
      </c>
      <c r="AD331" s="91">
        <v>0</v>
      </c>
      <c r="AE331" s="91">
        <f>+T331*0.01</f>
        <v>152002.8078077143</v>
      </c>
      <c r="AF331" s="91">
        <v>0</v>
      </c>
      <c r="AG331" s="204">
        <f>+AE331*1.15</f>
        <v>174803.22897887143</v>
      </c>
    </row>
    <row r="332" spans="1:34" s="103" customFormat="1" ht="90" customHeight="1">
      <c r="A332" s="102">
        <f t="shared" si="52"/>
        <v>311</v>
      </c>
      <c r="B332" s="52"/>
      <c r="C332" s="51" t="s">
        <v>718</v>
      </c>
      <c r="D332" s="35" t="s">
        <v>65</v>
      </c>
      <c r="E332" s="35">
        <v>800035314</v>
      </c>
      <c r="F332" s="36" t="s">
        <v>67</v>
      </c>
      <c r="G332" s="35" t="s">
        <v>48</v>
      </c>
      <c r="H332" s="51" t="s">
        <v>57</v>
      </c>
      <c r="I332" s="34" t="s">
        <v>351</v>
      </c>
      <c r="J332" s="52" t="s">
        <v>352</v>
      </c>
      <c r="K332" s="52" t="s">
        <v>60</v>
      </c>
      <c r="L332" s="51" t="s">
        <v>61</v>
      </c>
      <c r="M332" s="51" t="s">
        <v>117</v>
      </c>
      <c r="N332" s="36" t="s">
        <v>50</v>
      </c>
      <c r="O332" s="51"/>
      <c r="P332" s="51" t="s">
        <v>1048</v>
      </c>
      <c r="Q332" s="37"/>
      <c r="R332" s="37"/>
      <c r="S332" s="35" t="s">
        <v>96</v>
      </c>
      <c r="T332" s="38">
        <f>+(1823640+6*((1141850+1714473+2097122)/9)+3658606+1293526+1350713+929210+6*1022001/14+1350000+300000+750000+150000)*1.23*1.07</f>
        <v>20196860.196542859</v>
      </c>
      <c r="U332" s="39"/>
      <c r="V332" s="131"/>
      <c r="W332" s="38">
        <v>0</v>
      </c>
      <c r="X332" s="38">
        <v>0</v>
      </c>
      <c r="Y332" s="38">
        <v>0</v>
      </c>
      <c r="Z332" s="38">
        <v>0</v>
      </c>
      <c r="AA332" s="91">
        <v>0</v>
      </c>
      <c r="AB332" s="91">
        <v>0</v>
      </c>
      <c r="AC332" s="91">
        <v>0</v>
      </c>
      <c r="AD332" s="91">
        <f>+T332*0.235*0.3</f>
        <v>1423878.6438562714</v>
      </c>
      <c r="AE332" s="91">
        <f>+T332-AF332-AF332</f>
        <v>17773236.972957715</v>
      </c>
      <c r="AF332" s="91">
        <f>+T332*0.06</f>
        <v>1211811.6117925716</v>
      </c>
      <c r="AG332" s="204">
        <v>0</v>
      </c>
    </row>
    <row r="333" spans="1:34" s="103" customFormat="1" ht="90" customHeight="1">
      <c r="A333" s="102">
        <f t="shared" si="52"/>
        <v>312</v>
      </c>
      <c r="B333" s="52"/>
      <c r="C333" s="51" t="s">
        <v>719</v>
      </c>
      <c r="D333" s="35" t="s">
        <v>65</v>
      </c>
      <c r="E333" s="35">
        <v>800012104</v>
      </c>
      <c r="F333" s="36" t="s">
        <v>67</v>
      </c>
      <c r="G333" s="35" t="s">
        <v>48</v>
      </c>
      <c r="H333" s="51" t="s">
        <v>57</v>
      </c>
      <c r="I333" s="34" t="s">
        <v>58</v>
      </c>
      <c r="J333" s="52" t="s">
        <v>59</v>
      </c>
      <c r="K333" s="52" t="s">
        <v>60</v>
      </c>
      <c r="L333" s="51" t="s">
        <v>61</v>
      </c>
      <c r="M333" s="51" t="s">
        <v>117</v>
      </c>
      <c r="N333" s="36" t="s">
        <v>50</v>
      </c>
      <c r="O333" s="51"/>
      <c r="P333" s="51" t="s">
        <v>1049</v>
      </c>
      <c r="Q333" s="37"/>
      <c r="R333" s="37"/>
      <c r="S333" s="35" t="s">
        <v>96</v>
      </c>
      <c r="T333" s="38">
        <f>+(1823640+5*((1141850+1714473+2097122)/9)+3658606+1293526+1350713+929210+10*1022001/14+1350000+300000+1050000+150000)*1.23*1.07</f>
        <v>20251632.998738095</v>
      </c>
      <c r="U333" s="39"/>
      <c r="V333" s="131"/>
      <c r="W333" s="38">
        <v>0</v>
      </c>
      <c r="X333" s="38">
        <v>0</v>
      </c>
      <c r="Y333" s="38">
        <v>0</v>
      </c>
      <c r="Z333" s="38">
        <v>0</v>
      </c>
      <c r="AA333" s="91">
        <v>0</v>
      </c>
      <c r="AB333" s="91">
        <v>0</v>
      </c>
      <c r="AC333" s="91">
        <f>+T333*0.235*0.3</f>
        <v>1427740.1264110354</v>
      </c>
      <c r="AD333" s="91">
        <f>+T333-AC333-AE333</f>
        <v>17608794.892402776</v>
      </c>
      <c r="AE333" s="91">
        <f>+T333*0.06</f>
        <v>1215097.9799242856</v>
      </c>
      <c r="AF333" s="91">
        <v>0</v>
      </c>
      <c r="AG333" s="204">
        <f>+T333*0.01</f>
        <v>202516.32998738094</v>
      </c>
    </row>
    <row r="334" spans="1:34" s="103" customFormat="1" ht="90" customHeight="1">
      <c r="A334" s="102">
        <f t="shared" si="52"/>
        <v>313</v>
      </c>
      <c r="B334" s="52"/>
      <c r="C334" s="51" t="s">
        <v>720</v>
      </c>
      <c r="D334" s="35" t="s">
        <v>65</v>
      </c>
      <c r="E334" s="35">
        <v>800025825</v>
      </c>
      <c r="F334" s="36" t="s">
        <v>67</v>
      </c>
      <c r="G334" s="35" t="s">
        <v>48</v>
      </c>
      <c r="H334" s="51" t="s">
        <v>57</v>
      </c>
      <c r="I334" s="34" t="s">
        <v>721</v>
      </c>
      <c r="J334" s="52" t="s">
        <v>123</v>
      </c>
      <c r="K334" s="52"/>
      <c r="L334" s="51" t="s">
        <v>61</v>
      </c>
      <c r="M334" s="51" t="s">
        <v>117</v>
      </c>
      <c r="N334" s="36" t="s">
        <v>50</v>
      </c>
      <c r="O334" s="51"/>
      <c r="P334" s="51" t="s">
        <v>1050</v>
      </c>
      <c r="Q334" s="37"/>
      <c r="R334" s="37"/>
      <c r="S334" s="35" t="s">
        <v>96</v>
      </c>
      <c r="T334" s="38">
        <f>+(1823640+4*((1141850+1714473+2097122)/9)+3658606+1293526+1247367+1350713+929210+12*1022001/14+1350000+300000+1050000+150000)*1.23*1.07</f>
        <v>21361084.721619047</v>
      </c>
      <c r="U334" s="39"/>
      <c r="V334" s="131"/>
      <c r="W334" s="38">
        <v>0</v>
      </c>
      <c r="X334" s="38">
        <v>0</v>
      </c>
      <c r="Y334" s="38">
        <v>0</v>
      </c>
      <c r="Z334" s="38">
        <v>0</v>
      </c>
      <c r="AA334" s="91">
        <v>0</v>
      </c>
      <c r="AB334" s="91">
        <v>0</v>
      </c>
      <c r="AC334" s="91">
        <v>0</v>
      </c>
      <c r="AD334" s="91">
        <v>0</v>
      </c>
      <c r="AE334" s="91">
        <v>0</v>
      </c>
      <c r="AF334" s="91">
        <f>+T334*0.235*0.3</f>
        <v>1505956.4728741427</v>
      </c>
      <c r="AG334" s="204">
        <f>+T334-AF334-AH334</f>
        <v>18573463.165447764</v>
      </c>
      <c r="AH334" s="103">
        <f>+T334*0.06</f>
        <v>1281665.0832971428</v>
      </c>
    </row>
    <row r="335" spans="1:34" s="103" customFormat="1" ht="90" customHeight="1">
      <c r="A335" s="102">
        <f t="shared" si="52"/>
        <v>314</v>
      </c>
      <c r="B335" s="52"/>
      <c r="C335" s="51" t="s">
        <v>722</v>
      </c>
      <c r="D335" s="35" t="s">
        <v>65</v>
      </c>
      <c r="E335" s="35">
        <v>800029363</v>
      </c>
      <c r="F335" s="36" t="s">
        <v>67</v>
      </c>
      <c r="G335" s="35" t="s">
        <v>48</v>
      </c>
      <c r="H335" s="51" t="s">
        <v>57</v>
      </c>
      <c r="I335" s="34" t="s">
        <v>141</v>
      </c>
      <c r="J335" s="52" t="s">
        <v>59</v>
      </c>
      <c r="K335" s="52" t="s">
        <v>60</v>
      </c>
      <c r="L335" s="51" t="s">
        <v>61</v>
      </c>
      <c r="M335" s="51" t="s">
        <v>117</v>
      </c>
      <c r="N335" s="36" t="s">
        <v>50</v>
      </c>
      <c r="O335" s="51"/>
      <c r="P335" s="51" t="s">
        <v>1051</v>
      </c>
      <c r="Q335" s="37"/>
      <c r="R335" s="37"/>
      <c r="S335" s="35" t="s">
        <v>96</v>
      </c>
      <c r="T335" s="38">
        <f>+(1823640+3*((1141850+1714473+2097122)/9)+1293526+1350713+929210+4*1022001/14+1350000+450000+150000)*1.23*1.07</f>
        <v>12226881.730428573</v>
      </c>
      <c r="U335" s="39"/>
      <c r="V335" s="131"/>
      <c r="W335" s="38">
        <v>0</v>
      </c>
      <c r="X335" s="38">
        <v>0</v>
      </c>
      <c r="Y335" s="38">
        <v>0</v>
      </c>
      <c r="Z335" s="38">
        <v>0</v>
      </c>
      <c r="AA335" s="91">
        <f>+T335*0.235*0.3</f>
        <v>861995.16199521429</v>
      </c>
      <c r="AB335" s="91">
        <f>+T335-AA335-AC335</f>
        <v>10631273.664607644</v>
      </c>
      <c r="AC335" s="91">
        <f>+T335*0.06</f>
        <v>733612.90382571437</v>
      </c>
      <c r="AD335" s="91">
        <v>0</v>
      </c>
      <c r="AE335" s="91">
        <f>+T335*0.01</f>
        <v>122268.81730428572</v>
      </c>
      <c r="AF335" s="91">
        <v>0</v>
      </c>
      <c r="AG335" s="204">
        <f>+AE335*1.15</f>
        <v>140609.13989992856</v>
      </c>
    </row>
    <row r="336" spans="1:34" s="103" customFormat="1" ht="90" customHeight="1">
      <c r="A336" s="102">
        <f t="shared" si="52"/>
        <v>315</v>
      </c>
      <c r="B336" s="52"/>
      <c r="C336" s="51" t="s">
        <v>723</v>
      </c>
      <c r="D336" s="35" t="s">
        <v>65</v>
      </c>
      <c r="E336" s="35">
        <v>800006817</v>
      </c>
      <c r="F336" s="36" t="s">
        <v>67</v>
      </c>
      <c r="G336" s="35" t="s">
        <v>48</v>
      </c>
      <c r="H336" s="51" t="s">
        <v>57</v>
      </c>
      <c r="I336" s="34" t="s">
        <v>234</v>
      </c>
      <c r="J336" s="52" t="s">
        <v>59</v>
      </c>
      <c r="K336" s="52" t="s">
        <v>60</v>
      </c>
      <c r="L336" s="51" t="s">
        <v>49</v>
      </c>
      <c r="M336" s="51" t="s">
        <v>100</v>
      </c>
      <c r="N336" s="36" t="s">
        <v>50</v>
      </c>
      <c r="O336" s="51"/>
      <c r="P336" s="51" t="s">
        <v>697</v>
      </c>
      <c r="Q336" s="37"/>
      <c r="R336" s="37"/>
      <c r="S336" s="35" t="s">
        <v>96</v>
      </c>
      <c r="T336" s="38">
        <f>+(12*((1141850+1714473+2097122)/9)+12*1022001/14+12*50000)*1.23*1.07</f>
        <v>10634870.014085714</v>
      </c>
      <c r="U336" s="39"/>
      <c r="V336" s="131"/>
      <c r="W336" s="38">
        <v>0</v>
      </c>
      <c r="X336" s="38">
        <v>0</v>
      </c>
      <c r="Y336" s="38">
        <v>0</v>
      </c>
      <c r="Z336" s="38">
        <v>0</v>
      </c>
      <c r="AA336" s="91">
        <f>+T336*0.235*0.3</f>
        <v>749758.3359930428</v>
      </c>
      <c r="AB336" s="91">
        <f>+T336-AA336</f>
        <v>9885111.6780926716</v>
      </c>
      <c r="AC336" s="91">
        <v>0</v>
      </c>
      <c r="AD336" s="91">
        <f>+(T336+T346)*0.01</f>
        <v>130170.12894228571</v>
      </c>
      <c r="AE336" s="91">
        <v>0</v>
      </c>
      <c r="AF336" s="91">
        <f>+AD336*1.15</f>
        <v>149695.64828362854</v>
      </c>
      <c r="AG336" s="204">
        <v>0</v>
      </c>
    </row>
    <row r="337" spans="1:33" s="103" customFormat="1" ht="90" customHeight="1">
      <c r="A337" s="102">
        <f t="shared" si="52"/>
        <v>316</v>
      </c>
      <c r="B337" s="52"/>
      <c r="C337" s="51" t="s">
        <v>724</v>
      </c>
      <c r="D337" s="35" t="s">
        <v>65</v>
      </c>
      <c r="E337" s="35">
        <v>800025825</v>
      </c>
      <c r="F337" s="36" t="s">
        <v>67</v>
      </c>
      <c r="G337" s="35" t="s">
        <v>48</v>
      </c>
      <c r="H337" s="51" t="s">
        <v>57</v>
      </c>
      <c r="I337" s="34" t="s">
        <v>725</v>
      </c>
      <c r="J337" s="52" t="s">
        <v>123</v>
      </c>
      <c r="K337" s="52"/>
      <c r="L337" s="51" t="s">
        <v>49</v>
      </c>
      <c r="M337" s="51" t="s">
        <v>100</v>
      </c>
      <c r="N337" s="36" t="s">
        <v>50</v>
      </c>
      <c r="O337" s="51"/>
      <c r="P337" s="51" t="s">
        <v>613</v>
      </c>
      <c r="Q337" s="37"/>
      <c r="R337" s="37"/>
      <c r="S337" s="35" t="s">
        <v>96</v>
      </c>
      <c r="T337" s="38">
        <f>+(12*((1141850+1714473+2097122)/9)+12*50000)*1.23*1.07</f>
        <v>9481965.2859999985</v>
      </c>
      <c r="U337" s="39"/>
      <c r="V337" s="131"/>
      <c r="W337" s="38">
        <v>0</v>
      </c>
      <c r="X337" s="38">
        <v>0</v>
      </c>
      <c r="Y337" s="38">
        <v>0</v>
      </c>
      <c r="Z337" s="38">
        <v>0</v>
      </c>
      <c r="AA337" s="91">
        <f>+T337*0.235*0.3</f>
        <v>668478.55266299983</v>
      </c>
      <c r="AB337" s="91">
        <f>+T337-AA337-AC337</f>
        <v>8244568.8161769984</v>
      </c>
      <c r="AC337" s="91">
        <f>+T337*0.06</f>
        <v>568917.91715999984</v>
      </c>
      <c r="AD337" s="91">
        <v>0</v>
      </c>
      <c r="AE337" s="91">
        <f>+T337*0.01</f>
        <v>94819.652859999987</v>
      </c>
      <c r="AF337" s="91">
        <v>0</v>
      </c>
      <c r="AG337" s="204">
        <f>+AE337*1.15</f>
        <v>109042.60078899997</v>
      </c>
    </row>
    <row r="338" spans="1:33" s="103" customFormat="1" ht="90" customHeight="1">
      <c r="A338" s="102">
        <f t="shared" si="52"/>
        <v>317</v>
      </c>
      <c r="B338" s="52"/>
      <c r="C338" s="51" t="s">
        <v>726</v>
      </c>
      <c r="D338" s="35" t="s">
        <v>73</v>
      </c>
      <c r="E338" s="35">
        <v>800015792</v>
      </c>
      <c r="F338" s="36" t="s">
        <v>67</v>
      </c>
      <c r="G338" s="35" t="s">
        <v>48</v>
      </c>
      <c r="H338" s="51" t="s">
        <v>57</v>
      </c>
      <c r="I338" s="34" t="s">
        <v>234</v>
      </c>
      <c r="J338" s="52" t="s">
        <v>59</v>
      </c>
      <c r="K338" s="52" t="s">
        <v>60</v>
      </c>
      <c r="L338" s="51" t="s">
        <v>49</v>
      </c>
      <c r="M338" s="51" t="s">
        <v>100</v>
      </c>
      <c r="N338" s="36" t="s">
        <v>50</v>
      </c>
      <c r="O338" s="51"/>
      <c r="P338" s="51" t="s">
        <v>727</v>
      </c>
      <c r="Q338" s="37"/>
      <c r="R338" s="37"/>
      <c r="S338" s="35" t="s">
        <v>96</v>
      </c>
      <c r="T338" s="38">
        <f>+(10*((1141850+1714473+2097122)/9+50000))*1.23*1.07</f>
        <v>7901637.7383333342</v>
      </c>
      <c r="U338" s="39"/>
      <c r="V338" s="131"/>
      <c r="W338" s="38">
        <v>0</v>
      </c>
      <c r="X338" s="38">
        <v>0</v>
      </c>
      <c r="Y338" s="38">
        <v>0</v>
      </c>
      <c r="Z338" s="38">
        <v>0</v>
      </c>
      <c r="AA338" s="91">
        <v>0</v>
      </c>
      <c r="AB338" s="91">
        <f>+T338*0.235*0.3</f>
        <v>557065.46055249998</v>
      </c>
      <c r="AC338" s="91">
        <f>+T338-AB338-AD338</f>
        <v>6870474.0134808347</v>
      </c>
      <c r="AD338" s="91">
        <f>+T338*0.06</f>
        <v>474098.26430000004</v>
      </c>
      <c r="AE338" s="91">
        <v>0</v>
      </c>
      <c r="AF338" s="91">
        <f>+T338*0.01</f>
        <v>79016.37738333334</v>
      </c>
      <c r="AG338" s="204">
        <v>0</v>
      </c>
    </row>
    <row r="339" spans="1:33" s="103" customFormat="1" ht="90" customHeight="1">
      <c r="A339" s="102">
        <f t="shared" si="52"/>
        <v>318</v>
      </c>
      <c r="B339" s="52"/>
      <c r="C339" s="51" t="s">
        <v>728</v>
      </c>
      <c r="D339" s="35" t="s">
        <v>65</v>
      </c>
      <c r="E339" s="35">
        <v>800034488</v>
      </c>
      <c r="F339" s="36" t="s">
        <v>67</v>
      </c>
      <c r="G339" s="35" t="s">
        <v>48</v>
      </c>
      <c r="H339" s="51" t="s">
        <v>57</v>
      </c>
      <c r="I339" s="34" t="s">
        <v>58</v>
      </c>
      <c r="J339" s="52" t="s">
        <v>59</v>
      </c>
      <c r="K339" s="52" t="s">
        <v>60</v>
      </c>
      <c r="L339" s="51" t="s">
        <v>49</v>
      </c>
      <c r="M339" s="51" t="s">
        <v>100</v>
      </c>
      <c r="N339" s="36" t="s">
        <v>50</v>
      </c>
      <c r="O339" s="51"/>
      <c r="P339" s="51" t="s">
        <v>729</v>
      </c>
      <c r="Q339" s="37"/>
      <c r="R339" s="37"/>
      <c r="S339" s="35" t="s">
        <v>96</v>
      </c>
      <c r="T339" s="38">
        <f>+(9*((1141850+1714473+2097122)/9+50000))*1.23*1.07</f>
        <v>7111473.9644999998</v>
      </c>
      <c r="U339" s="39"/>
      <c r="V339" s="131"/>
      <c r="W339" s="38">
        <v>0</v>
      </c>
      <c r="X339" s="38">
        <v>0</v>
      </c>
      <c r="Y339" s="38">
        <v>0</v>
      </c>
      <c r="Z339" s="38">
        <v>0</v>
      </c>
      <c r="AA339" s="91">
        <f>+T339*0.235*0.3</f>
        <v>501358.91449724993</v>
      </c>
      <c r="AB339" s="91">
        <f>+T339-AA339-AC339</f>
        <v>6183426.6121327505</v>
      </c>
      <c r="AC339" s="91">
        <f>+T339*0.06</f>
        <v>426688.43786999997</v>
      </c>
      <c r="AD339" s="91">
        <v>0</v>
      </c>
      <c r="AE339" s="91">
        <f>+T339*0.01</f>
        <v>71114.739644999994</v>
      </c>
      <c r="AF339" s="91">
        <v>0</v>
      </c>
      <c r="AG339" s="204">
        <f>+AE339*1.15</f>
        <v>81781.950591749992</v>
      </c>
    </row>
    <row r="340" spans="1:33" s="103" customFormat="1" ht="90" customHeight="1">
      <c r="A340" s="102">
        <f t="shared" si="52"/>
        <v>319</v>
      </c>
      <c r="B340" s="52"/>
      <c r="C340" s="51" t="s">
        <v>730</v>
      </c>
      <c r="D340" s="35" t="s">
        <v>65</v>
      </c>
      <c r="E340" s="35">
        <v>800025676</v>
      </c>
      <c r="F340" s="36" t="s">
        <v>67</v>
      </c>
      <c r="G340" s="35" t="s">
        <v>48</v>
      </c>
      <c r="H340" s="51" t="s">
        <v>57</v>
      </c>
      <c r="I340" s="34" t="s">
        <v>234</v>
      </c>
      <c r="J340" s="52" t="s">
        <v>59</v>
      </c>
      <c r="K340" s="52" t="s">
        <v>60</v>
      </c>
      <c r="L340" s="51" t="s">
        <v>49</v>
      </c>
      <c r="M340" s="51" t="s">
        <v>100</v>
      </c>
      <c r="N340" s="36" t="s">
        <v>50</v>
      </c>
      <c r="O340" s="51"/>
      <c r="P340" s="51" t="s">
        <v>729</v>
      </c>
      <c r="Q340" s="37"/>
      <c r="R340" s="37"/>
      <c r="S340" s="35" t="s">
        <v>96</v>
      </c>
      <c r="T340" s="38">
        <f>+(9*((1141850+1714473+2097122)/9+50000))*1.23*1.07</f>
        <v>7111473.9644999998</v>
      </c>
      <c r="U340" s="39"/>
      <c r="V340" s="131"/>
      <c r="W340" s="38">
        <v>0</v>
      </c>
      <c r="X340" s="38">
        <v>0</v>
      </c>
      <c r="Y340" s="38">
        <v>0</v>
      </c>
      <c r="Z340" s="38">
        <v>0</v>
      </c>
      <c r="AA340" s="91">
        <f>+T340*0.235*0.3</f>
        <v>501358.91449724993</v>
      </c>
      <c r="AB340" s="91">
        <f>+T340-AA340-AC340</f>
        <v>6183426.6121327505</v>
      </c>
      <c r="AC340" s="91">
        <f>+T340*0.06</f>
        <v>426688.43786999997</v>
      </c>
      <c r="AD340" s="91">
        <v>0</v>
      </c>
      <c r="AE340" s="91">
        <f>+T340*0.01</f>
        <v>71114.739644999994</v>
      </c>
      <c r="AF340" s="91">
        <v>0</v>
      </c>
      <c r="AG340" s="204">
        <f>+AE340*1.15</f>
        <v>81781.950591749992</v>
      </c>
    </row>
    <row r="341" spans="1:33" s="103" customFormat="1" ht="90" customHeight="1">
      <c r="A341" s="102">
        <f t="shared" si="52"/>
        <v>320</v>
      </c>
      <c r="B341" s="52"/>
      <c r="C341" s="51" t="s">
        <v>731</v>
      </c>
      <c r="D341" s="35" t="s">
        <v>65</v>
      </c>
      <c r="E341" s="35">
        <v>800006700</v>
      </c>
      <c r="F341" s="36" t="s">
        <v>67</v>
      </c>
      <c r="G341" s="35" t="s">
        <v>48</v>
      </c>
      <c r="H341" s="51" t="s">
        <v>57</v>
      </c>
      <c r="I341" s="34" t="s">
        <v>115</v>
      </c>
      <c r="J341" s="52" t="s">
        <v>116</v>
      </c>
      <c r="K341" s="52"/>
      <c r="L341" s="51" t="s">
        <v>49</v>
      </c>
      <c r="M341" s="51" t="s">
        <v>100</v>
      </c>
      <c r="N341" s="36" t="s">
        <v>50</v>
      </c>
      <c r="O341" s="51"/>
      <c r="P341" s="51" t="s">
        <v>1239</v>
      </c>
      <c r="Q341" s="37"/>
      <c r="R341" s="37"/>
      <c r="S341" s="35" t="s">
        <v>96</v>
      </c>
      <c r="T341" s="38">
        <f>+(8*((1141850+1714473+2097122)/9+50000)+1350000)*1.23*1.07</f>
        <v>8098045.1906666672</v>
      </c>
      <c r="U341" s="39"/>
      <c r="V341" s="131"/>
      <c r="W341" s="38">
        <v>0</v>
      </c>
      <c r="X341" s="38">
        <v>0</v>
      </c>
      <c r="Y341" s="38">
        <v>0</v>
      </c>
      <c r="Z341" s="38">
        <v>0</v>
      </c>
      <c r="AA341" s="91">
        <f>+T341*0.235*0.3</f>
        <v>570912.18594200001</v>
      </c>
      <c r="AB341" s="91">
        <f>+T341-AA341-AC341</f>
        <v>7041250.2932846677</v>
      </c>
      <c r="AC341" s="91">
        <f>+T341*0.06</f>
        <v>485882.71143999998</v>
      </c>
      <c r="AD341" s="91">
        <v>0</v>
      </c>
      <c r="AE341" s="91">
        <f>+T341*0.01</f>
        <v>80980.451906666669</v>
      </c>
      <c r="AF341" s="91">
        <v>0</v>
      </c>
      <c r="AG341" s="204">
        <f>+AE341*1.15</f>
        <v>93127.519692666669</v>
      </c>
    </row>
    <row r="342" spans="1:33" s="103" customFormat="1" ht="90" customHeight="1">
      <c r="A342" s="102">
        <f t="shared" si="52"/>
        <v>321</v>
      </c>
      <c r="B342" s="52"/>
      <c r="C342" s="51" t="s">
        <v>733</v>
      </c>
      <c r="D342" s="35" t="s">
        <v>96</v>
      </c>
      <c r="E342" s="35">
        <v>800023028</v>
      </c>
      <c r="F342" s="36" t="s">
        <v>67</v>
      </c>
      <c r="G342" s="35" t="s">
        <v>48</v>
      </c>
      <c r="H342" s="51" t="s">
        <v>57</v>
      </c>
      <c r="I342" s="34" t="s">
        <v>734</v>
      </c>
      <c r="J342" s="52" t="s">
        <v>158</v>
      </c>
      <c r="K342" s="52"/>
      <c r="L342" s="51" t="s">
        <v>49</v>
      </c>
      <c r="M342" s="51" t="s">
        <v>100</v>
      </c>
      <c r="N342" s="36" t="s">
        <v>50</v>
      </c>
      <c r="O342" s="51"/>
      <c r="P342" s="51" t="s">
        <v>732</v>
      </c>
      <c r="Q342" s="37"/>
      <c r="R342" s="37"/>
      <c r="S342" s="35" t="s">
        <v>96</v>
      </c>
      <c r="T342" s="38">
        <f>+(8*((1141850+1714473+2097122)/9+50000))*1.23*1.07</f>
        <v>6321310.1906666672</v>
      </c>
      <c r="U342" s="39"/>
      <c r="V342" s="131"/>
      <c r="W342" s="38">
        <v>0</v>
      </c>
      <c r="X342" s="38">
        <v>0</v>
      </c>
      <c r="Y342" s="38">
        <v>0</v>
      </c>
      <c r="Z342" s="38">
        <v>0</v>
      </c>
      <c r="AA342" s="91">
        <v>0</v>
      </c>
      <c r="AB342" s="91">
        <f>+T342*0.235*0.3</f>
        <v>445652.36844200001</v>
      </c>
      <c r="AC342" s="91">
        <f>+T342-AB342-AD342</f>
        <v>5496379.2107846672</v>
      </c>
      <c r="AD342" s="91">
        <f>+T342*0.06</f>
        <v>379278.61144000001</v>
      </c>
      <c r="AE342" s="91">
        <v>0</v>
      </c>
      <c r="AF342" s="91">
        <f>+T342*0.01</f>
        <v>63213.10190666667</v>
      </c>
      <c r="AG342" s="204">
        <v>0</v>
      </c>
    </row>
    <row r="343" spans="1:33" s="103" customFormat="1" ht="90" customHeight="1">
      <c r="A343" s="102">
        <f t="shared" si="52"/>
        <v>322</v>
      </c>
      <c r="B343" s="52"/>
      <c r="C343" s="51" t="s">
        <v>735</v>
      </c>
      <c r="D343" s="35" t="s">
        <v>65</v>
      </c>
      <c r="E343" s="35">
        <v>800009233</v>
      </c>
      <c r="F343" s="36" t="s">
        <v>67</v>
      </c>
      <c r="G343" s="35" t="s">
        <v>48</v>
      </c>
      <c r="H343" s="51" t="s">
        <v>57</v>
      </c>
      <c r="I343" s="34" t="s">
        <v>736</v>
      </c>
      <c r="J343" s="52" t="s">
        <v>116</v>
      </c>
      <c r="K343" s="52"/>
      <c r="L343" s="51" t="s">
        <v>49</v>
      </c>
      <c r="M343" s="51" t="s">
        <v>100</v>
      </c>
      <c r="N343" s="36" t="s">
        <v>50</v>
      </c>
      <c r="O343" s="51"/>
      <c r="P343" s="51" t="s">
        <v>594</v>
      </c>
      <c r="Q343" s="37"/>
      <c r="R343" s="37"/>
      <c r="S343" s="35" t="s">
        <v>96</v>
      </c>
      <c r="T343" s="38">
        <f>+(5*((1141850+1714473+2097122)/9+50000))*1.23*1.07</f>
        <v>3950818.8691666671</v>
      </c>
      <c r="U343" s="39"/>
      <c r="V343" s="131"/>
      <c r="W343" s="38">
        <v>0</v>
      </c>
      <c r="X343" s="38">
        <v>0</v>
      </c>
      <c r="Y343" s="38">
        <v>0</v>
      </c>
      <c r="Z343" s="38">
        <v>0</v>
      </c>
      <c r="AA343" s="91">
        <f>+T343*0.235*0.3</f>
        <v>278532.73027624999</v>
      </c>
      <c r="AB343" s="91">
        <f>+T343-AA343</f>
        <v>3672286.1388904173</v>
      </c>
      <c r="AC343" s="91">
        <v>0</v>
      </c>
      <c r="AD343" s="91">
        <f>+T343*0.01</f>
        <v>39508.18869166667</v>
      </c>
      <c r="AE343" s="91">
        <v>0</v>
      </c>
      <c r="AF343" s="91">
        <f>+AD343*1.15</f>
        <v>45434.416995416665</v>
      </c>
      <c r="AG343" s="204">
        <v>0</v>
      </c>
    </row>
    <row r="344" spans="1:33" s="103" customFormat="1" ht="90" customHeight="1">
      <c r="A344" s="102">
        <f t="shared" ref="A344:A407" si="55">+A343+1</f>
        <v>323</v>
      </c>
      <c r="B344" s="52"/>
      <c r="C344" s="51" t="s">
        <v>737</v>
      </c>
      <c r="D344" s="35" t="s">
        <v>65</v>
      </c>
      <c r="E344" s="35">
        <v>800001941</v>
      </c>
      <c r="F344" s="36" t="s">
        <v>67</v>
      </c>
      <c r="G344" s="35" t="s">
        <v>48</v>
      </c>
      <c r="H344" s="51" t="s">
        <v>57</v>
      </c>
      <c r="I344" s="34" t="s">
        <v>454</v>
      </c>
      <c r="J344" s="52" t="s">
        <v>188</v>
      </c>
      <c r="K344" s="52" t="s">
        <v>60</v>
      </c>
      <c r="L344" s="51" t="s">
        <v>49</v>
      </c>
      <c r="M344" s="51" t="s">
        <v>100</v>
      </c>
      <c r="N344" s="36" t="s">
        <v>50</v>
      </c>
      <c r="O344" s="51"/>
      <c r="P344" s="51" t="s">
        <v>738</v>
      </c>
      <c r="Q344" s="37"/>
      <c r="R344" s="37"/>
      <c r="S344" s="35" t="s">
        <v>96</v>
      </c>
      <c r="T344" s="38">
        <f>+(2*((1141850+1714473+2097122)/9+50000))*1.23*1.07</f>
        <v>1580327.5476666668</v>
      </c>
      <c r="U344" s="39"/>
      <c r="V344" s="131"/>
      <c r="W344" s="38">
        <v>0</v>
      </c>
      <c r="X344" s="38">
        <v>0</v>
      </c>
      <c r="Y344" s="38">
        <v>0</v>
      </c>
      <c r="Z344" s="38">
        <f>+T344*0.235*0.3</f>
        <v>111413.0921105</v>
      </c>
      <c r="AA344" s="91">
        <f>+T344</f>
        <v>1580327.5476666668</v>
      </c>
      <c r="AB344" s="91">
        <v>0</v>
      </c>
      <c r="AC344" s="91">
        <v>0</v>
      </c>
      <c r="AD344" s="91">
        <v>0</v>
      </c>
      <c r="AE344" s="91">
        <v>0</v>
      </c>
      <c r="AF344" s="91">
        <v>0</v>
      </c>
      <c r="AG344" s="204">
        <v>0</v>
      </c>
    </row>
    <row r="345" spans="1:33" s="103" customFormat="1" ht="90" customHeight="1">
      <c r="A345" s="102">
        <f t="shared" si="55"/>
        <v>324</v>
      </c>
      <c r="B345" s="52"/>
      <c r="C345" s="51" t="s">
        <v>739</v>
      </c>
      <c r="D345" s="35" t="s">
        <v>65</v>
      </c>
      <c r="E345" s="35">
        <v>800018531</v>
      </c>
      <c r="F345" s="36" t="s">
        <v>67</v>
      </c>
      <c r="G345" s="35" t="s">
        <v>48</v>
      </c>
      <c r="H345" s="51" t="s">
        <v>57</v>
      </c>
      <c r="I345" s="34" t="s">
        <v>157</v>
      </c>
      <c r="J345" s="52" t="s">
        <v>158</v>
      </c>
      <c r="K345" s="52"/>
      <c r="L345" s="51" t="s">
        <v>61</v>
      </c>
      <c r="M345" s="51" t="s">
        <v>1251</v>
      </c>
      <c r="N345" s="36" t="s">
        <v>50</v>
      </c>
      <c r="O345" s="51"/>
      <c r="P345" s="51" t="s">
        <v>740</v>
      </c>
      <c r="Q345" s="37"/>
      <c r="R345" s="37"/>
      <c r="S345" s="35" t="s">
        <v>52</v>
      </c>
      <c r="T345" s="38">
        <f>+(24*(1022001/14)+350000)*1.23*1.07</f>
        <v>2766444.4561714288</v>
      </c>
      <c r="U345" s="39"/>
      <c r="V345" s="131"/>
      <c r="W345" s="38">
        <v>0</v>
      </c>
      <c r="X345" s="38">
        <f t="shared" ref="X345:X355" si="56">+T345</f>
        <v>2766444.4561714288</v>
      </c>
      <c r="Y345" s="38">
        <v>0</v>
      </c>
      <c r="Z345" s="38">
        <v>0</v>
      </c>
      <c r="AA345" s="91">
        <v>0</v>
      </c>
      <c r="AB345" s="91">
        <v>0</v>
      </c>
      <c r="AC345" s="91">
        <v>0</v>
      </c>
      <c r="AD345" s="91">
        <v>0</v>
      </c>
      <c r="AE345" s="91">
        <v>0</v>
      </c>
      <c r="AF345" s="91">
        <v>0</v>
      </c>
      <c r="AG345" s="204">
        <v>0</v>
      </c>
    </row>
    <row r="346" spans="1:33" s="103" customFormat="1" ht="90" customHeight="1">
      <c r="A346" s="102">
        <f t="shared" si="55"/>
        <v>325</v>
      </c>
      <c r="B346" s="52"/>
      <c r="C346" s="51" t="s">
        <v>723</v>
      </c>
      <c r="D346" s="35" t="s">
        <v>65</v>
      </c>
      <c r="E346" s="35">
        <v>800006817</v>
      </c>
      <c r="F346" s="36" t="s">
        <v>67</v>
      </c>
      <c r="G346" s="35" t="s">
        <v>48</v>
      </c>
      <c r="H346" s="51" t="s">
        <v>57</v>
      </c>
      <c r="I346" s="34" t="s">
        <v>234</v>
      </c>
      <c r="J346" s="52" t="s">
        <v>59</v>
      </c>
      <c r="K346" s="52" t="s">
        <v>60</v>
      </c>
      <c r="L346" s="51" t="s">
        <v>61</v>
      </c>
      <c r="M346" s="51" t="s">
        <v>1251</v>
      </c>
      <c r="N346" s="36" t="s">
        <v>50</v>
      </c>
      <c r="O346" s="51"/>
      <c r="P346" s="51" t="s">
        <v>741</v>
      </c>
      <c r="Q346" s="37"/>
      <c r="R346" s="37"/>
      <c r="S346" s="35" t="s">
        <v>52</v>
      </c>
      <c r="T346" s="38">
        <f>+(20*(1022001/14)+350000)*1.23*1.07</f>
        <v>2382142.8801428573</v>
      </c>
      <c r="U346" s="39"/>
      <c r="V346" s="131"/>
      <c r="W346" s="38">
        <v>0</v>
      </c>
      <c r="X346" s="38">
        <f t="shared" si="56"/>
        <v>2382142.8801428573</v>
      </c>
      <c r="Y346" s="38">
        <v>0</v>
      </c>
      <c r="Z346" s="38">
        <v>0</v>
      </c>
      <c r="AA346" s="91">
        <v>0</v>
      </c>
      <c r="AB346" s="91">
        <v>0</v>
      </c>
      <c r="AC346" s="91">
        <v>0</v>
      </c>
      <c r="AD346" s="91">
        <v>0</v>
      </c>
      <c r="AE346" s="91">
        <v>0</v>
      </c>
      <c r="AF346" s="91">
        <v>0</v>
      </c>
      <c r="AG346" s="204">
        <v>0</v>
      </c>
    </row>
    <row r="347" spans="1:33" s="103" customFormat="1" ht="90" customHeight="1">
      <c r="A347" s="102">
        <f t="shared" si="55"/>
        <v>326</v>
      </c>
      <c r="B347" s="52"/>
      <c r="C347" s="51" t="s">
        <v>742</v>
      </c>
      <c r="D347" s="35" t="s">
        <v>73</v>
      </c>
      <c r="E347" s="35">
        <v>800021345</v>
      </c>
      <c r="F347" s="36" t="s">
        <v>67</v>
      </c>
      <c r="G347" s="35" t="s">
        <v>48</v>
      </c>
      <c r="H347" s="51" t="s">
        <v>57</v>
      </c>
      <c r="I347" s="34" t="s">
        <v>743</v>
      </c>
      <c r="J347" s="52" t="s">
        <v>188</v>
      </c>
      <c r="K347" s="52" t="s">
        <v>60</v>
      </c>
      <c r="L347" s="51" t="s">
        <v>61</v>
      </c>
      <c r="M347" s="51" t="s">
        <v>1251</v>
      </c>
      <c r="N347" s="36" t="s">
        <v>50</v>
      </c>
      <c r="O347" s="51"/>
      <c r="P347" s="51" t="s">
        <v>744</v>
      </c>
      <c r="Q347" s="37"/>
      <c r="R347" s="37"/>
      <c r="S347" s="35" t="s">
        <v>52</v>
      </c>
      <c r="T347" s="38">
        <f>20*(1022001/14)*1.23*1.07</f>
        <v>1921507.8801428573</v>
      </c>
      <c r="U347" s="39"/>
      <c r="V347" s="131"/>
      <c r="W347" s="38">
        <v>0</v>
      </c>
      <c r="X347" s="38">
        <f t="shared" si="56"/>
        <v>1921507.8801428573</v>
      </c>
      <c r="Y347" s="38">
        <v>0</v>
      </c>
      <c r="Z347" s="38">
        <v>0</v>
      </c>
      <c r="AA347" s="91">
        <v>0</v>
      </c>
      <c r="AB347" s="91">
        <v>0</v>
      </c>
      <c r="AC347" s="91">
        <v>0</v>
      </c>
      <c r="AD347" s="91">
        <v>0</v>
      </c>
      <c r="AE347" s="91">
        <v>0</v>
      </c>
      <c r="AF347" s="91">
        <v>0</v>
      </c>
      <c r="AG347" s="204">
        <v>0</v>
      </c>
    </row>
    <row r="348" spans="1:33" s="103" customFormat="1" ht="90" customHeight="1">
      <c r="A348" s="102">
        <f t="shared" si="55"/>
        <v>327</v>
      </c>
      <c r="B348" s="52"/>
      <c r="C348" s="51" t="s">
        <v>745</v>
      </c>
      <c r="D348" s="35" t="s">
        <v>65</v>
      </c>
      <c r="E348" s="35">
        <v>800019737</v>
      </c>
      <c r="F348" s="36" t="s">
        <v>67</v>
      </c>
      <c r="G348" s="35" t="s">
        <v>48</v>
      </c>
      <c r="H348" s="51" t="s">
        <v>57</v>
      </c>
      <c r="I348" s="34" t="s">
        <v>369</v>
      </c>
      <c r="J348" s="52" t="s">
        <v>123</v>
      </c>
      <c r="K348" s="52"/>
      <c r="L348" s="51" t="s">
        <v>61</v>
      </c>
      <c r="M348" s="51" t="s">
        <v>1251</v>
      </c>
      <c r="N348" s="36" t="s">
        <v>50</v>
      </c>
      <c r="O348" s="51"/>
      <c r="P348" s="51" t="s">
        <v>744</v>
      </c>
      <c r="Q348" s="37"/>
      <c r="R348" s="37"/>
      <c r="S348" s="35" t="s">
        <v>52</v>
      </c>
      <c r="T348" s="38">
        <f>20*(1022001/14)*1.23*1.07</f>
        <v>1921507.8801428573</v>
      </c>
      <c r="U348" s="39"/>
      <c r="V348" s="131"/>
      <c r="W348" s="38">
        <v>0</v>
      </c>
      <c r="X348" s="38">
        <f t="shared" si="56"/>
        <v>1921507.8801428573</v>
      </c>
      <c r="Y348" s="38">
        <v>0</v>
      </c>
      <c r="Z348" s="38">
        <v>0</v>
      </c>
      <c r="AA348" s="91">
        <v>0</v>
      </c>
      <c r="AB348" s="91">
        <v>0</v>
      </c>
      <c r="AC348" s="91">
        <v>0</v>
      </c>
      <c r="AD348" s="91">
        <v>0</v>
      </c>
      <c r="AE348" s="91">
        <v>0</v>
      </c>
      <c r="AF348" s="91">
        <v>0</v>
      </c>
      <c r="AG348" s="204">
        <v>0</v>
      </c>
    </row>
    <row r="349" spans="1:33" s="103" customFormat="1" ht="90" customHeight="1">
      <c r="A349" s="102">
        <f t="shared" si="55"/>
        <v>328</v>
      </c>
      <c r="B349" s="52"/>
      <c r="C349" s="51" t="s">
        <v>746</v>
      </c>
      <c r="D349" s="35" t="s">
        <v>73</v>
      </c>
      <c r="E349" s="35">
        <v>800010397</v>
      </c>
      <c r="F349" s="36" t="s">
        <v>67</v>
      </c>
      <c r="G349" s="35" t="s">
        <v>48</v>
      </c>
      <c r="H349" s="51" t="s">
        <v>57</v>
      </c>
      <c r="I349" s="34" t="s">
        <v>320</v>
      </c>
      <c r="J349" s="52" t="s">
        <v>188</v>
      </c>
      <c r="K349" s="52" t="s">
        <v>60</v>
      </c>
      <c r="L349" s="51" t="s">
        <v>61</v>
      </c>
      <c r="M349" s="51" t="s">
        <v>1251</v>
      </c>
      <c r="N349" s="36" t="s">
        <v>50</v>
      </c>
      <c r="O349" s="51"/>
      <c r="P349" s="51" t="s">
        <v>747</v>
      </c>
      <c r="Q349" s="37">
        <v>42156</v>
      </c>
      <c r="R349" s="37">
        <v>42369</v>
      </c>
      <c r="S349" s="35" t="s">
        <v>52</v>
      </c>
      <c r="T349" s="38">
        <f>16*(1022001/14)*1.23*1.07</f>
        <v>1537206.3041142859</v>
      </c>
      <c r="U349" s="39"/>
      <c r="V349" s="131"/>
      <c r="W349" s="38">
        <v>0</v>
      </c>
      <c r="X349" s="38">
        <f t="shared" si="56"/>
        <v>1537206.3041142859</v>
      </c>
      <c r="Y349" s="38">
        <v>0</v>
      </c>
      <c r="Z349" s="38">
        <v>0</v>
      </c>
      <c r="AA349" s="91">
        <v>0</v>
      </c>
      <c r="AB349" s="91">
        <v>0</v>
      </c>
      <c r="AC349" s="91">
        <v>0</v>
      </c>
      <c r="AD349" s="91">
        <v>0</v>
      </c>
      <c r="AE349" s="91">
        <v>0</v>
      </c>
      <c r="AF349" s="91">
        <v>0</v>
      </c>
      <c r="AG349" s="204">
        <v>0</v>
      </c>
    </row>
    <row r="350" spans="1:33" s="103" customFormat="1" ht="90" customHeight="1">
      <c r="A350" s="102">
        <f t="shared" si="55"/>
        <v>329</v>
      </c>
      <c r="B350" s="52"/>
      <c r="C350" s="51" t="s">
        <v>749</v>
      </c>
      <c r="D350" s="35" t="s">
        <v>73</v>
      </c>
      <c r="E350" s="35">
        <v>800001990</v>
      </c>
      <c r="F350" s="36" t="s">
        <v>67</v>
      </c>
      <c r="G350" s="35" t="s">
        <v>48</v>
      </c>
      <c r="H350" s="51" t="s">
        <v>57</v>
      </c>
      <c r="I350" s="34" t="s">
        <v>157</v>
      </c>
      <c r="J350" s="52" t="s">
        <v>158</v>
      </c>
      <c r="K350" s="52"/>
      <c r="L350" s="51" t="s">
        <v>61</v>
      </c>
      <c r="M350" s="51" t="s">
        <v>1251</v>
      </c>
      <c r="N350" s="36" t="s">
        <v>50</v>
      </c>
      <c r="O350" s="51"/>
      <c r="P350" s="51" t="s">
        <v>744</v>
      </c>
      <c r="Q350" s="37"/>
      <c r="R350" s="37"/>
      <c r="S350" s="35" t="s">
        <v>52</v>
      </c>
      <c r="T350" s="38">
        <f>20*(1022001/14)*1.23*1.07</f>
        <v>1921507.8801428573</v>
      </c>
      <c r="U350" s="39"/>
      <c r="V350" s="131"/>
      <c r="W350" s="38">
        <v>0</v>
      </c>
      <c r="X350" s="38">
        <f t="shared" si="56"/>
        <v>1921507.8801428573</v>
      </c>
      <c r="Y350" s="38">
        <v>0</v>
      </c>
      <c r="Z350" s="38">
        <v>0</v>
      </c>
      <c r="AA350" s="91">
        <v>0</v>
      </c>
      <c r="AB350" s="91">
        <v>0</v>
      </c>
      <c r="AC350" s="91">
        <v>0</v>
      </c>
      <c r="AD350" s="91">
        <v>0</v>
      </c>
      <c r="AE350" s="91">
        <v>0</v>
      </c>
      <c r="AF350" s="91">
        <v>0</v>
      </c>
      <c r="AG350" s="204">
        <v>0</v>
      </c>
    </row>
    <row r="351" spans="1:33" s="103" customFormat="1" ht="90" customHeight="1">
      <c r="A351" s="102">
        <f t="shared" si="55"/>
        <v>330</v>
      </c>
      <c r="B351" s="52"/>
      <c r="C351" s="51" t="s">
        <v>750</v>
      </c>
      <c r="D351" s="35" t="s">
        <v>65</v>
      </c>
      <c r="E351" s="35">
        <v>800010363</v>
      </c>
      <c r="F351" s="36" t="s">
        <v>67</v>
      </c>
      <c r="G351" s="35" t="s">
        <v>48</v>
      </c>
      <c r="H351" s="51" t="s">
        <v>57</v>
      </c>
      <c r="I351" s="34" t="s">
        <v>141</v>
      </c>
      <c r="J351" s="52" t="s">
        <v>59</v>
      </c>
      <c r="K351" s="52" t="s">
        <v>60</v>
      </c>
      <c r="L351" s="51" t="s">
        <v>61</v>
      </c>
      <c r="M351" s="51" t="s">
        <v>1251</v>
      </c>
      <c r="N351" s="36" t="s">
        <v>50</v>
      </c>
      <c r="O351" s="51"/>
      <c r="P351" s="51" t="s">
        <v>699</v>
      </c>
      <c r="Q351" s="37">
        <v>42156</v>
      </c>
      <c r="R351" s="37">
        <v>42369</v>
      </c>
      <c r="S351" s="35" t="s">
        <v>52</v>
      </c>
      <c r="T351" s="38">
        <f>10*(1022001/14)*1.23*1.07</f>
        <v>960753.94007142866</v>
      </c>
      <c r="U351" s="39"/>
      <c r="V351" s="131"/>
      <c r="W351" s="38">
        <v>0</v>
      </c>
      <c r="X351" s="38">
        <f t="shared" si="56"/>
        <v>960753.94007142866</v>
      </c>
      <c r="Y351" s="38">
        <v>0</v>
      </c>
      <c r="Z351" s="38">
        <v>0</v>
      </c>
      <c r="AA351" s="91">
        <v>0</v>
      </c>
      <c r="AB351" s="91">
        <v>0</v>
      </c>
      <c r="AC351" s="91">
        <v>0</v>
      </c>
      <c r="AD351" s="91">
        <v>0</v>
      </c>
      <c r="AE351" s="91">
        <v>0</v>
      </c>
      <c r="AF351" s="91">
        <v>0</v>
      </c>
      <c r="AG351" s="204">
        <v>0</v>
      </c>
    </row>
    <row r="352" spans="1:33" s="103" customFormat="1" ht="90" customHeight="1">
      <c r="A352" s="102">
        <f t="shared" si="55"/>
        <v>331</v>
      </c>
      <c r="B352" s="52"/>
      <c r="C352" s="51" t="s">
        <v>751</v>
      </c>
      <c r="D352" s="35" t="s">
        <v>65</v>
      </c>
      <c r="E352" s="35">
        <v>800003467</v>
      </c>
      <c r="F352" s="36" t="s">
        <v>67</v>
      </c>
      <c r="G352" s="35" t="s">
        <v>48</v>
      </c>
      <c r="H352" s="51" t="s">
        <v>57</v>
      </c>
      <c r="I352" s="34" t="s">
        <v>379</v>
      </c>
      <c r="J352" s="52" t="s">
        <v>188</v>
      </c>
      <c r="K352" s="52" t="s">
        <v>60</v>
      </c>
      <c r="L352" s="51" t="s">
        <v>61</v>
      </c>
      <c r="M352" s="51" t="s">
        <v>1251</v>
      </c>
      <c r="N352" s="36" t="s">
        <v>50</v>
      </c>
      <c r="O352" s="51"/>
      <c r="P352" s="51" t="s">
        <v>752</v>
      </c>
      <c r="Q352" s="37"/>
      <c r="R352" s="37"/>
      <c r="S352" s="35" t="s">
        <v>52</v>
      </c>
      <c r="T352" s="38">
        <f>+(10*(1022001/14)+350000)*1.23*1.07</f>
        <v>1421388.9400714287</v>
      </c>
      <c r="U352" s="39"/>
      <c r="V352" s="131"/>
      <c r="W352" s="38">
        <v>0</v>
      </c>
      <c r="X352" s="38">
        <f t="shared" si="56"/>
        <v>1421388.9400714287</v>
      </c>
      <c r="Y352" s="38">
        <v>0</v>
      </c>
      <c r="Z352" s="38">
        <v>0</v>
      </c>
      <c r="AA352" s="91">
        <v>0</v>
      </c>
      <c r="AB352" s="91">
        <v>0</v>
      </c>
      <c r="AC352" s="91">
        <v>0</v>
      </c>
      <c r="AD352" s="91">
        <v>0</v>
      </c>
      <c r="AE352" s="91">
        <v>0</v>
      </c>
      <c r="AF352" s="91">
        <v>0</v>
      </c>
      <c r="AG352" s="204">
        <v>0</v>
      </c>
    </row>
    <row r="353" spans="1:33" s="103" customFormat="1" ht="90" customHeight="1">
      <c r="A353" s="102">
        <f t="shared" si="55"/>
        <v>332</v>
      </c>
      <c r="B353" s="52"/>
      <c r="C353" s="51" t="s">
        <v>753</v>
      </c>
      <c r="D353" s="35" t="s">
        <v>96</v>
      </c>
      <c r="E353" s="35">
        <v>800019752</v>
      </c>
      <c r="F353" s="36" t="s">
        <v>67</v>
      </c>
      <c r="G353" s="35" t="s">
        <v>48</v>
      </c>
      <c r="H353" s="51" t="s">
        <v>57</v>
      </c>
      <c r="I353" s="34" t="s">
        <v>141</v>
      </c>
      <c r="J353" s="52" t="s">
        <v>59</v>
      </c>
      <c r="K353" s="52" t="s">
        <v>60</v>
      </c>
      <c r="L353" s="51" t="s">
        <v>61</v>
      </c>
      <c r="M353" s="51" t="s">
        <v>1251</v>
      </c>
      <c r="N353" s="36" t="s">
        <v>50</v>
      </c>
      <c r="O353" s="51"/>
      <c r="P353" s="51" t="s">
        <v>754</v>
      </c>
      <c r="Q353" s="37"/>
      <c r="R353" s="37"/>
      <c r="S353" s="35" t="s">
        <v>52</v>
      </c>
      <c r="T353" s="38">
        <f>10*(1022001/14)*1.23*1.07</f>
        <v>960753.94007142866</v>
      </c>
      <c r="U353" s="39"/>
      <c r="V353" s="131"/>
      <c r="W353" s="38">
        <v>0</v>
      </c>
      <c r="X353" s="38">
        <f t="shared" si="56"/>
        <v>960753.94007142866</v>
      </c>
      <c r="Y353" s="38">
        <v>0</v>
      </c>
      <c r="Z353" s="38">
        <v>0</v>
      </c>
      <c r="AA353" s="91">
        <v>0</v>
      </c>
      <c r="AB353" s="91">
        <v>0</v>
      </c>
      <c r="AC353" s="91">
        <v>0</v>
      </c>
      <c r="AD353" s="91">
        <v>0</v>
      </c>
      <c r="AE353" s="91">
        <v>0</v>
      </c>
      <c r="AF353" s="91">
        <v>0</v>
      </c>
      <c r="AG353" s="204">
        <v>0</v>
      </c>
    </row>
    <row r="354" spans="1:33" s="103" customFormat="1" ht="90" customHeight="1">
      <c r="A354" s="102">
        <f t="shared" si="55"/>
        <v>333</v>
      </c>
      <c r="B354" s="52"/>
      <c r="C354" s="51" t="s">
        <v>755</v>
      </c>
      <c r="D354" s="35" t="s">
        <v>65</v>
      </c>
      <c r="E354" s="35">
        <v>800000389</v>
      </c>
      <c r="F354" s="36" t="s">
        <v>67</v>
      </c>
      <c r="G354" s="35" t="s">
        <v>48</v>
      </c>
      <c r="H354" s="51" t="s">
        <v>57</v>
      </c>
      <c r="I354" s="34" t="s">
        <v>58</v>
      </c>
      <c r="J354" s="51" t="s">
        <v>782</v>
      </c>
      <c r="K354" s="52" t="s">
        <v>60</v>
      </c>
      <c r="L354" s="51" t="s">
        <v>61</v>
      </c>
      <c r="M354" s="51" t="s">
        <v>1251</v>
      </c>
      <c r="N354" s="36" t="s">
        <v>50</v>
      </c>
      <c r="O354" s="51"/>
      <c r="P354" s="51" t="s">
        <v>756</v>
      </c>
      <c r="Q354" s="37"/>
      <c r="R354" s="37"/>
      <c r="S354" s="35" t="s">
        <v>52</v>
      </c>
      <c r="T354" s="38">
        <f>8*(1022001/14)*1.23*1.07</f>
        <v>768603.15205714293</v>
      </c>
      <c r="U354" s="39"/>
      <c r="V354" s="131"/>
      <c r="W354" s="38">
        <v>0</v>
      </c>
      <c r="X354" s="38">
        <f t="shared" si="56"/>
        <v>768603.15205714293</v>
      </c>
      <c r="Y354" s="38">
        <v>0</v>
      </c>
      <c r="Z354" s="38">
        <v>0</v>
      </c>
      <c r="AA354" s="91">
        <v>0</v>
      </c>
      <c r="AB354" s="91">
        <v>0</v>
      </c>
      <c r="AC354" s="91">
        <v>0</v>
      </c>
      <c r="AD354" s="91">
        <v>0</v>
      </c>
      <c r="AE354" s="91">
        <v>0</v>
      </c>
      <c r="AF354" s="91">
        <v>0</v>
      </c>
      <c r="AG354" s="204">
        <v>0</v>
      </c>
    </row>
    <row r="355" spans="1:33" s="103" customFormat="1" ht="90" customHeight="1">
      <c r="A355" s="102">
        <f t="shared" si="55"/>
        <v>334</v>
      </c>
      <c r="B355" s="52"/>
      <c r="C355" s="51" t="s">
        <v>757</v>
      </c>
      <c r="D355" s="35" t="s">
        <v>65</v>
      </c>
      <c r="E355" s="35">
        <v>800020701</v>
      </c>
      <c r="F355" s="36" t="s">
        <v>67</v>
      </c>
      <c r="G355" s="35" t="s">
        <v>48</v>
      </c>
      <c r="H355" s="51" t="s">
        <v>57</v>
      </c>
      <c r="I355" s="34" t="s">
        <v>379</v>
      </c>
      <c r="J355" s="52" t="s">
        <v>188</v>
      </c>
      <c r="K355" s="52" t="s">
        <v>60</v>
      </c>
      <c r="L355" s="51" t="s">
        <v>61</v>
      </c>
      <c r="M355" s="51" t="s">
        <v>1251</v>
      </c>
      <c r="N355" s="36" t="s">
        <v>50</v>
      </c>
      <c r="O355" s="51"/>
      <c r="P355" s="51" t="s">
        <v>758</v>
      </c>
      <c r="Q355" s="37"/>
      <c r="R355" s="37"/>
      <c r="S355" s="35" t="s">
        <v>52</v>
      </c>
      <c r="T355" s="38">
        <f>+(6*(1022001/14)+350000)*1.23*1.07</f>
        <v>1037087.3640428573</v>
      </c>
      <c r="U355" s="39"/>
      <c r="V355" s="131"/>
      <c r="W355" s="38">
        <v>0</v>
      </c>
      <c r="X355" s="38">
        <f t="shared" si="56"/>
        <v>1037087.3640428573</v>
      </c>
      <c r="Y355" s="38">
        <v>0</v>
      </c>
      <c r="Z355" s="38">
        <v>0</v>
      </c>
      <c r="AA355" s="91">
        <v>0</v>
      </c>
      <c r="AB355" s="91">
        <v>0</v>
      </c>
      <c r="AC355" s="91">
        <v>0</v>
      </c>
      <c r="AD355" s="91">
        <v>0</v>
      </c>
      <c r="AE355" s="91">
        <v>0</v>
      </c>
      <c r="AF355" s="91">
        <v>0</v>
      </c>
      <c r="AG355" s="204">
        <v>0</v>
      </c>
    </row>
    <row r="356" spans="1:33" s="103" customFormat="1" ht="90" customHeight="1">
      <c r="A356" s="102">
        <f t="shared" si="55"/>
        <v>335</v>
      </c>
      <c r="B356" s="52"/>
      <c r="C356" s="51" t="s">
        <v>759</v>
      </c>
      <c r="D356" s="35" t="s">
        <v>65</v>
      </c>
      <c r="E356" s="35">
        <v>800011148</v>
      </c>
      <c r="F356" s="36" t="s">
        <v>67</v>
      </c>
      <c r="G356" s="35" t="s">
        <v>48</v>
      </c>
      <c r="H356" s="51" t="s">
        <v>57</v>
      </c>
      <c r="I356" s="34" t="s">
        <v>379</v>
      </c>
      <c r="J356" s="52" t="s">
        <v>188</v>
      </c>
      <c r="K356" s="52" t="s">
        <v>60</v>
      </c>
      <c r="L356" s="51" t="s">
        <v>61</v>
      </c>
      <c r="M356" s="51" t="s">
        <v>222</v>
      </c>
      <c r="N356" s="36" t="s">
        <v>223</v>
      </c>
      <c r="O356" s="51"/>
      <c r="P356" s="51" t="s">
        <v>760</v>
      </c>
      <c r="Q356" s="37"/>
      <c r="R356" s="37"/>
      <c r="S356" s="35" t="s">
        <v>52</v>
      </c>
      <c r="T356" s="38">
        <f>+(1*1823640)*1.23*1.07</f>
        <v>2400092.6040000003</v>
      </c>
      <c r="U356" s="39"/>
      <c r="V356" s="131"/>
      <c r="W356" s="38">
        <f t="shared" ref="W356" si="57">+T356</f>
        <v>2400092.6040000003</v>
      </c>
      <c r="X356" s="38">
        <f>+W356*0.15</f>
        <v>360013.89060000004</v>
      </c>
      <c r="Y356" s="38">
        <v>0</v>
      </c>
      <c r="Z356" s="38">
        <v>0</v>
      </c>
      <c r="AA356" s="91">
        <v>0</v>
      </c>
      <c r="AB356" s="91">
        <v>0</v>
      </c>
      <c r="AC356" s="91">
        <v>0</v>
      </c>
      <c r="AD356" s="91">
        <v>0</v>
      </c>
      <c r="AE356" s="91">
        <v>0</v>
      </c>
      <c r="AF356" s="91">
        <v>0</v>
      </c>
      <c r="AG356" s="204">
        <v>0</v>
      </c>
    </row>
    <row r="357" spans="1:33" s="103" customFormat="1" ht="90" customHeight="1">
      <c r="A357" s="102">
        <f t="shared" si="55"/>
        <v>336</v>
      </c>
      <c r="B357" s="52"/>
      <c r="C357" s="51" t="s">
        <v>761</v>
      </c>
      <c r="D357" s="35" t="s">
        <v>65</v>
      </c>
      <c r="E357" s="35">
        <v>800030486</v>
      </c>
      <c r="F357" s="36" t="s">
        <v>67</v>
      </c>
      <c r="G357" s="35" t="s">
        <v>48</v>
      </c>
      <c r="H357" s="51" t="s">
        <v>57</v>
      </c>
      <c r="I357" s="34" t="s">
        <v>592</v>
      </c>
      <c r="J357" s="52" t="s">
        <v>158</v>
      </c>
      <c r="K357" s="52"/>
      <c r="L357" s="51" t="s">
        <v>61</v>
      </c>
      <c r="M357" s="51" t="s">
        <v>222</v>
      </c>
      <c r="N357" s="36" t="s">
        <v>223</v>
      </c>
      <c r="O357" s="51"/>
      <c r="P357" s="51" t="s">
        <v>762</v>
      </c>
      <c r="Q357" s="37"/>
      <c r="R357" s="37"/>
      <c r="S357" s="35" t="s">
        <v>96</v>
      </c>
      <c r="T357" s="38">
        <f>+(2*1823640)*1.23*1.07</f>
        <v>4800185.2080000006</v>
      </c>
      <c r="U357" s="39"/>
      <c r="V357" s="131"/>
      <c r="W357" s="38">
        <v>0</v>
      </c>
      <c r="X357" s="38">
        <v>0</v>
      </c>
      <c r="Y357" s="38">
        <v>0</v>
      </c>
      <c r="Z357" s="38">
        <v>0</v>
      </c>
      <c r="AA357" s="91">
        <f>+T357*0.235*0.3</f>
        <v>338413.057164</v>
      </c>
      <c r="AB357" s="91">
        <f>+T357-AA357-AC357</f>
        <v>4461772.1508360002</v>
      </c>
      <c r="AC357" s="91">
        <v>0</v>
      </c>
      <c r="AD357" s="91">
        <v>0</v>
      </c>
      <c r="AE357" s="91">
        <f>+T357*0.01</f>
        <v>48001.852080000004</v>
      </c>
      <c r="AF357" s="91">
        <v>0</v>
      </c>
      <c r="AG357" s="204">
        <f>+AE357*1.15</f>
        <v>55202.129891999997</v>
      </c>
    </row>
    <row r="358" spans="1:33" s="103" customFormat="1" ht="90" customHeight="1">
      <c r="A358" s="102">
        <f t="shared" si="55"/>
        <v>337</v>
      </c>
      <c r="B358" s="52"/>
      <c r="C358" s="51" t="s">
        <v>763</v>
      </c>
      <c r="D358" s="35" t="s">
        <v>65</v>
      </c>
      <c r="E358" s="35">
        <v>800034784</v>
      </c>
      <c r="F358" s="36" t="s">
        <v>67</v>
      </c>
      <c r="G358" s="35" t="s">
        <v>48</v>
      </c>
      <c r="H358" s="51" t="s">
        <v>57</v>
      </c>
      <c r="I358" s="34" t="s">
        <v>764</v>
      </c>
      <c r="J358" s="52" t="s">
        <v>158</v>
      </c>
      <c r="K358" s="52"/>
      <c r="L358" s="51" t="s">
        <v>61</v>
      </c>
      <c r="M358" s="51" t="s">
        <v>222</v>
      </c>
      <c r="N358" s="36" t="s">
        <v>223</v>
      </c>
      <c r="O358" s="51"/>
      <c r="P358" s="51" t="s">
        <v>760</v>
      </c>
      <c r="Q358" s="37"/>
      <c r="R358" s="37"/>
      <c r="S358" s="35" t="s">
        <v>96</v>
      </c>
      <c r="T358" s="38">
        <f t="shared" ref="T358:T365" si="58">+(1*1823640)*1.23*1.07</f>
        <v>2400092.6040000003</v>
      </c>
      <c r="U358" s="39"/>
      <c r="V358" s="131"/>
      <c r="W358" s="38">
        <v>0</v>
      </c>
      <c r="X358" s="38">
        <v>0</v>
      </c>
      <c r="Y358" s="38">
        <v>0</v>
      </c>
      <c r="Z358" s="38">
        <f>+T358*0.235*0.3</f>
        <v>169206.528582</v>
      </c>
      <c r="AA358" s="91">
        <f>+T358-Z358</f>
        <v>2230886.0754180001</v>
      </c>
      <c r="AB358" s="91">
        <v>0</v>
      </c>
      <c r="AC358" s="91">
        <v>0</v>
      </c>
      <c r="AD358" s="91">
        <v>0</v>
      </c>
      <c r="AE358" s="91">
        <v>0</v>
      </c>
      <c r="AF358" s="91">
        <v>0</v>
      </c>
      <c r="AG358" s="204">
        <v>0</v>
      </c>
    </row>
    <row r="359" spans="1:33" s="103" customFormat="1" ht="90" customHeight="1">
      <c r="A359" s="102">
        <f t="shared" si="55"/>
        <v>338</v>
      </c>
      <c r="B359" s="52"/>
      <c r="C359" s="51" t="s">
        <v>765</v>
      </c>
      <c r="D359" s="35" t="s">
        <v>65</v>
      </c>
      <c r="E359" s="35">
        <v>800022640</v>
      </c>
      <c r="F359" s="36" t="s">
        <v>67</v>
      </c>
      <c r="G359" s="35" t="s">
        <v>48</v>
      </c>
      <c r="H359" s="51" t="s">
        <v>57</v>
      </c>
      <c r="I359" s="34" t="s">
        <v>766</v>
      </c>
      <c r="J359" s="52" t="s">
        <v>767</v>
      </c>
      <c r="K359" s="52"/>
      <c r="L359" s="51" t="s">
        <v>61</v>
      </c>
      <c r="M359" s="51" t="s">
        <v>222</v>
      </c>
      <c r="N359" s="36" t="s">
        <v>223</v>
      </c>
      <c r="O359" s="51"/>
      <c r="P359" s="51" t="s">
        <v>760</v>
      </c>
      <c r="Q359" s="37"/>
      <c r="R359" s="37"/>
      <c r="S359" s="35" t="s">
        <v>96</v>
      </c>
      <c r="T359" s="38">
        <f t="shared" si="58"/>
        <v>2400092.6040000003</v>
      </c>
      <c r="U359" s="39"/>
      <c r="V359" s="131"/>
      <c r="W359" s="38">
        <v>0</v>
      </c>
      <c r="X359" s="38">
        <v>0</v>
      </c>
      <c r="Y359" s="38">
        <v>0</v>
      </c>
      <c r="Z359" s="38">
        <v>0</v>
      </c>
      <c r="AA359" s="91">
        <f>+T359*0.235*0.3</f>
        <v>169206.528582</v>
      </c>
      <c r="AB359" s="91">
        <f>+T359-AA359</f>
        <v>2230886.0754180001</v>
      </c>
      <c r="AC359" s="91">
        <v>0</v>
      </c>
      <c r="AD359" s="91">
        <v>0</v>
      </c>
      <c r="AE359" s="91">
        <v>0</v>
      </c>
      <c r="AF359" s="91">
        <v>0</v>
      </c>
      <c r="AG359" s="204">
        <v>0</v>
      </c>
    </row>
    <row r="360" spans="1:33" s="103" customFormat="1" ht="90" customHeight="1">
      <c r="A360" s="102">
        <f t="shared" si="55"/>
        <v>339</v>
      </c>
      <c r="B360" s="52"/>
      <c r="C360" s="51" t="s">
        <v>768</v>
      </c>
      <c r="D360" s="35" t="s">
        <v>65</v>
      </c>
      <c r="E360" s="35">
        <v>800018416</v>
      </c>
      <c r="F360" s="36" t="s">
        <v>67</v>
      </c>
      <c r="G360" s="35" t="s">
        <v>48</v>
      </c>
      <c r="H360" s="51" t="s">
        <v>57</v>
      </c>
      <c r="I360" s="34" t="s">
        <v>157</v>
      </c>
      <c r="J360" s="52" t="s">
        <v>158</v>
      </c>
      <c r="K360" s="52"/>
      <c r="L360" s="51" t="s">
        <v>61</v>
      </c>
      <c r="M360" s="51" t="s">
        <v>222</v>
      </c>
      <c r="N360" s="36" t="s">
        <v>223</v>
      </c>
      <c r="O360" s="51"/>
      <c r="P360" s="51" t="s">
        <v>762</v>
      </c>
      <c r="Q360" s="37"/>
      <c r="R360" s="37"/>
      <c r="S360" s="35" t="s">
        <v>96</v>
      </c>
      <c r="T360" s="38">
        <f>+(2*1823640)*1.23*1.07</f>
        <v>4800185.2080000006</v>
      </c>
      <c r="U360" s="39"/>
      <c r="V360" s="131"/>
      <c r="W360" s="38">
        <v>0</v>
      </c>
      <c r="X360" s="38">
        <v>0</v>
      </c>
      <c r="Y360" s="38">
        <v>0</v>
      </c>
      <c r="Z360" s="38">
        <v>0</v>
      </c>
      <c r="AA360" s="91">
        <f>+T360*0.235*0.3</f>
        <v>338413.057164</v>
      </c>
      <c r="AB360" s="91">
        <f>+T360-AA360-AC360</f>
        <v>4173761.0383560001</v>
      </c>
      <c r="AC360" s="91">
        <f>+T360*0.06</f>
        <v>288011.11248000001</v>
      </c>
      <c r="AD360" s="91">
        <v>0</v>
      </c>
      <c r="AE360" s="91">
        <f>+T360*0.01</f>
        <v>48001.852080000004</v>
      </c>
      <c r="AF360" s="91">
        <v>0</v>
      </c>
      <c r="AG360" s="204">
        <f>+AE360*1.15</f>
        <v>55202.129891999997</v>
      </c>
    </row>
    <row r="361" spans="1:33" s="103" customFormat="1" ht="90" customHeight="1">
      <c r="A361" s="102">
        <f t="shared" si="55"/>
        <v>340</v>
      </c>
      <c r="B361" s="52"/>
      <c r="C361" s="51" t="s">
        <v>769</v>
      </c>
      <c r="D361" s="35" t="s">
        <v>65</v>
      </c>
      <c r="E361" s="35">
        <v>800026534</v>
      </c>
      <c r="F361" s="36" t="s">
        <v>67</v>
      </c>
      <c r="G361" s="35" t="s">
        <v>48</v>
      </c>
      <c r="H361" s="51" t="s">
        <v>57</v>
      </c>
      <c r="I361" s="34" t="s">
        <v>58</v>
      </c>
      <c r="J361" s="52" t="s">
        <v>59</v>
      </c>
      <c r="K361" s="52" t="s">
        <v>60</v>
      </c>
      <c r="L361" s="51" t="s">
        <v>61</v>
      </c>
      <c r="M361" s="51" t="s">
        <v>222</v>
      </c>
      <c r="N361" s="36" t="s">
        <v>223</v>
      </c>
      <c r="O361" s="51"/>
      <c r="P361" s="51" t="s">
        <v>760</v>
      </c>
      <c r="Q361" s="37"/>
      <c r="R361" s="37"/>
      <c r="S361" s="35" t="s">
        <v>96</v>
      </c>
      <c r="T361" s="38">
        <f>+(1*1823640)*1.23*1.07</f>
        <v>2400092.6040000003</v>
      </c>
      <c r="U361" s="39"/>
      <c r="V361" s="131"/>
      <c r="W361" s="38">
        <v>0</v>
      </c>
      <c r="X361" s="38">
        <v>0</v>
      </c>
      <c r="Y361" s="38">
        <v>0</v>
      </c>
      <c r="Z361" s="38">
        <v>0</v>
      </c>
      <c r="AA361" s="91">
        <v>0</v>
      </c>
      <c r="AB361" s="91">
        <f>+T361*0.235*0.3</f>
        <v>169206.528582</v>
      </c>
      <c r="AC361" s="91">
        <f>+T361-AB361-AD361</f>
        <v>2086880.519178</v>
      </c>
      <c r="AD361" s="91">
        <f>+T361*0.06</f>
        <v>144005.55624000001</v>
      </c>
      <c r="AE361" s="91">
        <v>0</v>
      </c>
      <c r="AF361" s="91">
        <f>+T361*0.01</f>
        <v>24000.926040000002</v>
      </c>
      <c r="AG361" s="204">
        <v>0</v>
      </c>
    </row>
    <row r="362" spans="1:33" s="103" customFormat="1" ht="90" customHeight="1">
      <c r="A362" s="102">
        <f t="shared" si="55"/>
        <v>341</v>
      </c>
      <c r="B362" s="52"/>
      <c r="C362" s="51" t="s">
        <v>770</v>
      </c>
      <c r="D362" s="35" t="s">
        <v>65</v>
      </c>
      <c r="E362" s="35">
        <v>800022947</v>
      </c>
      <c r="F362" s="36" t="s">
        <v>67</v>
      </c>
      <c r="G362" s="35" t="s">
        <v>48</v>
      </c>
      <c r="H362" s="51" t="s">
        <v>57</v>
      </c>
      <c r="I362" s="34" t="s">
        <v>115</v>
      </c>
      <c r="J362" s="52" t="s">
        <v>116</v>
      </c>
      <c r="K362" s="52"/>
      <c r="L362" s="51" t="s">
        <v>61</v>
      </c>
      <c r="M362" s="51" t="s">
        <v>222</v>
      </c>
      <c r="N362" s="36" t="s">
        <v>223</v>
      </c>
      <c r="O362" s="51"/>
      <c r="P362" s="51" t="s">
        <v>760</v>
      </c>
      <c r="Q362" s="37"/>
      <c r="R362" s="37"/>
      <c r="S362" s="35" t="s">
        <v>96</v>
      </c>
      <c r="T362" s="38">
        <f t="shared" si="58"/>
        <v>2400092.6040000003</v>
      </c>
      <c r="U362" s="39"/>
      <c r="V362" s="131"/>
      <c r="W362" s="38">
        <v>0</v>
      </c>
      <c r="X362" s="38">
        <v>0</v>
      </c>
      <c r="Y362" s="38">
        <v>0</v>
      </c>
      <c r="Z362" s="38">
        <v>0</v>
      </c>
      <c r="AA362" s="91">
        <f>+T362*0.235*0.3</f>
        <v>169206.528582</v>
      </c>
      <c r="AB362" s="91">
        <f>+T362-AA362-AC362</f>
        <v>2230886.0754180001</v>
      </c>
      <c r="AC362" s="91">
        <v>0</v>
      </c>
      <c r="AD362" s="91">
        <v>0</v>
      </c>
      <c r="AE362" s="91">
        <v>0</v>
      </c>
      <c r="AF362" s="91">
        <v>0</v>
      </c>
      <c r="AG362" s="204">
        <f>+AE362*1.15</f>
        <v>0</v>
      </c>
    </row>
    <row r="363" spans="1:33" s="103" customFormat="1" ht="90" customHeight="1">
      <c r="A363" s="102">
        <f t="shared" si="55"/>
        <v>342</v>
      </c>
      <c r="B363" s="52"/>
      <c r="C363" s="51" t="s">
        <v>771</v>
      </c>
      <c r="D363" s="35" t="s">
        <v>65</v>
      </c>
      <c r="E363" s="35">
        <v>800009803</v>
      </c>
      <c r="F363" s="36" t="s">
        <v>67</v>
      </c>
      <c r="G363" s="35" t="s">
        <v>48</v>
      </c>
      <c r="H363" s="51" t="s">
        <v>57</v>
      </c>
      <c r="I363" s="34" t="s">
        <v>369</v>
      </c>
      <c r="J363" s="52" t="s">
        <v>767</v>
      </c>
      <c r="K363" s="52"/>
      <c r="L363" s="51" t="s">
        <v>61</v>
      </c>
      <c r="M363" s="51" t="s">
        <v>222</v>
      </c>
      <c r="N363" s="36" t="s">
        <v>223</v>
      </c>
      <c r="O363" s="51"/>
      <c r="P363" s="51" t="s">
        <v>760</v>
      </c>
      <c r="Q363" s="37"/>
      <c r="R363" s="37"/>
      <c r="S363" s="35" t="s">
        <v>96</v>
      </c>
      <c r="T363" s="38">
        <f t="shared" si="58"/>
        <v>2400092.6040000003</v>
      </c>
      <c r="U363" s="39"/>
      <c r="V363" s="131"/>
      <c r="W363" s="38">
        <v>0</v>
      </c>
      <c r="X363" s="38">
        <v>0</v>
      </c>
      <c r="Y363" s="38">
        <v>0</v>
      </c>
      <c r="Z363" s="38">
        <f>+T363*0.235*0.3</f>
        <v>169206.528582</v>
      </c>
      <c r="AA363" s="91">
        <f>+T363-Z363</f>
        <v>2230886.0754180001</v>
      </c>
      <c r="AB363" s="91">
        <v>0</v>
      </c>
      <c r="AC363" s="91">
        <v>0</v>
      </c>
      <c r="AD363" s="91">
        <v>0</v>
      </c>
      <c r="AE363" s="91">
        <v>0</v>
      </c>
      <c r="AF363" s="91">
        <v>0</v>
      </c>
      <c r="AG363" s="204"/>
    </row>
    <row r="364" spans="1:33" s="103" customFormat="1" ht="90" customHeight="1">
      <c r="A364" s="102">
        <f t="shared" si="55"/>
        <v>343</v>
      </c>
      <c r="B364" s="52"/>
      <c r="C364" s="51" t="s">
        <v>772</v>
      </c>
      <c r="D364" s="35" t="s">
        <v>65</v>
      </c>
      <c r="E364" s="35">
        <v>800024760</v>
      </c>
      <c r="F364" s="36" t="s">
        <v>67</v>
      </c>
      <c r="G364" s="35" t="s">
        <v>48</v>
      </c>
      <c r="H364" s="51" t="s">
        <v>57</v>
      </c>
      <c r="I364" s="34" t="s">
        <v>743</v>
      </c>
      <c r="J364" s="52" t="s">
        <v>188</v>
      </c>
      <c r="K364" s="52" t="s">
        <v>60</v>
      </c>
      <c r="L364" s="51" t="s">
        <v>61</v>
      </c>
      <c r="M364" s="51" t="s">
        <v>222</v>
      </c>
      <c r="N364" s="36" t="s">
        <v>223</v>
      </c>
      <c r="O364" s="51"/>
      <c r="P364" s="51" t="s">
        <v>760</v>
      </c>
      <c r="Q364" s="37"/>
      <c r="R364" s="37"/>
      <c r="S364" s="35" t="s">
        <v>96</v>
      </c>
      <c r="T364" s="38">
        <f t="shared" si="58"/>
        <v>2400092.6040000003</v>
      </c>
      <c r="U364" s="39"/>
      <c r="V364" s="131"/>
      <c r="W364" s="38">
        <v>0</v>
      </c>
      <c r="X364" s="38">
        <v>0</v>
      </c>
      <c r="Y364" s="38">
        <v>0</v>
      </c>
      <c r="Z364" s="38">
        <v>0</v>
      </c>
      <c r="AA364" s="91">
        <f>+T364*0.235*0.3</f>
        <v>169206.528582</v>
      </c>
      <c r="AB364" s="91">
        <f>+T364-AA364-AC364</f>
        <v>2086880.519178</v>
      </c>
      <c r="AC364" s="91">
        <f>+T364*0.06</f>
        <v>144005.55624000001</v>
      </c>
      <c r="AD364" s="91">
        <v>0</v>
      </c>
      <c r="AE364" s="91">
        <f>+T364*0.01</f>
        <v>24000.926040000002</v>
      </c>
      <c r="AF364" s="91">
        <v>0</v>
      </c>
      <c r="AG364" s="204">
        <f>+AE364*1.15</f>
        <v>27601.064945999999</v>
      </c>
    </row>
    <row r="365" spans="1:33" s="103" customFormat="1" ht="90" customHeight="1">
      <c r="A365" s="102">
        <f t="shared" si="55"/>
        <v>344</v>
      </c>
      <c r="B365" s="52"/>
      <c r="C365" s="51" t="s">
        <v>773</v>
      </c>
      <c r="D365" s="35" t="s">
        <v>65</v>
      </c>
      <c r="E365" s="35">
        <v>800028928</v>
      </c>
      <c r="F365" s="36" t="s">
        <v>67</v>
      </c>
      <c r="G365" s="35" t="s">
        <v>48</v>
      </c>
      <c r="H365" s="51" t="s">
        <v>57</v>
      </c>
      <c r="I365" s="34" t="s">
        <v>774</v>
      </c>
      <c r="J365" s="52" t="s">
        <v>767</v>
      </c>
      <c r="K365" s="52"/>
      <c r="L365" s="51" t="s">
        <v>61</v>
      </c>
      <c r="M365" s="51" t="s">
        <v>222</v>
      </c>
      <c r="N365" s="36" t="s">
        <v>223</v>
      </c>
      <c r="O365" s="51"/>
      <c r="P365" s="51" t="s">
        <v>760</v>
      </c>
      <c r="Q365" s="37"/>
      <c r="R365" s="37"/>
      <c r="S365" s="35" t="s">
        <v>96</v>
      </c>
      <c r="T365" s="38">
        <f t="shared" si="58"/>
        <v>2400092.6040000003</v>
      </c>
      <c r="U365" s="39"/>
      <c r="V365" s="131"/>
      <c r="W365" s="38">
        <v>0</v>
      </c>
      <c r="X365" s="38">
        <v>0</v>
      </c>
      <c r="Y365" s="38">
        <v>0</v>
      </c>
      <c r="Z365" s="38">
        <v>0</v>
      </c>
      <c r="AA365" s="91">
        <v>0</v>
      </c>
      <c r="AB365" s="91">
        <f>+T365*0.235*0.3</f>
        <v>169206.528582</v>
      </c>
      <c r="AC365" s="91">
        <f>+T365-AB365</f>
        <v>2230886.0754180001</v>
      </c>
      <c r="AD365" s="91">
        <v>0</v>
      </c>
      <c r="AE365" s="91">
        <v>0</v>
      </c>
      <c r="AF365" s="91">
        <v>0</v>
      </c>
      <c r="AG365" s="204">
        <v>0</v>
      </c>
    </row>
    <row r="366" spans="1:33" s="103" customFormat="1" ht="90" customHeight="1">
      <c r="A366" s="102">
        <f t="shared" si="55"/>
        <v>345</v>
      </c>
      <c r="B366" s="52"/>
      <c r="C366" s="51" t="s">
        <v>775</v>
      </c>
      <c r="D366" s="35" t="s">
        <v>96</v>
      </c>
      <c r="E366" s="35">
        <v>800010264</v>
      </c>
      <c r="F366" s="36" t="s">
        <v>67</v>
      </c>
      <c r="G366" s="35" t="s">
        <v>48</v>
      </c>
      <c r="H366" s="51" t="s">
        <v>57</v>
      </c>
      <c r="I366" s="34" t="s">
        <v>115</v>
      </c>
      <c r="J366" s="52" t="s">
        <v>116</v>
      </c>
      <c r="K366" s="52"/>
      <c r="L366" s="51" t="s">
        <v>262</v>
      </c>
      <c r="M366" s="51" t="s">
        <v>8</v>
      </c>
      <c r="N366" s="36" t="s">
        <v>50</v>
      </c>
      <c r="O366" s="51"/>
      <c r="P366" s="51" t="s">
        <v>776</v>
      </c>
      <c r="Q366" s="37"/>
      <c r="R366" s="37"/>
      <c r="S366" s="35" t="s">
        <v>87</v>
      </c>
      <c r="T366" s="38">
        <f>+(24*190000+32*10000+1350000)*1.23</f>
        <v>7662900</v>
      </c>
      <c r="U366" s="39"/>
      <c r="V366" s="131"/>
      <c r="W366" s="38">
        <v>0</v>
      </c>
      <c r="X366" s="38">
        <f>+T366*0.235*0.3</f>
        <v>540234.44999999995</v>
      </c>
      <c r="Y366" s="38">
        <f>+T366-X366</f>
        <v>7122665.5499999998</v>
      </c>
      <c r="Z366" s="38">
        <v>0</v>
      </c>
      <c r="AA366" s="91">
        <f>+T366*0.01</f>
        <v>76629</v>
      </c>
      <c r="AB366" s="91">
        <v>0</v>
      </c>
      <c r="AC366" s="91">
        <f>+AA366*1.15</f>
        <v>88123.349999999991</v>
      </c>
      <c r="AD366" s="91">
        <v>0</v>
      </c>
      <c r="AE366" s="91">
        <f>+AC366*1.15</f>
        <v>101341.85249999998</v>
      </c>
      <c r="AF366" s="91">
        <v>0</v>
      </c>
      <c r="AG366" s="204">
        <f>+AE366*1.15</f>
        <v>116543.13037499996</v>
      </c>
    </row>
    <row r="367" spans="1:33" s="103" customFormat="1" ht="90" customHeight="1">
      <c r="A367" s="102">
        <f t="shared" si="55"/>
        <v>346</v>
      </c>
      <c r="B367" s="52"/>
      <c r="C367" s="51" t="s">
        <v>777</v>
      </c>
      <c r="D367" s="35" t="s">
        <v>65</v>
      </c>
      <c r="E367" s="35">
        <v>800017327</v>
      </c>
      <c r="F367" s="36" t="s">
        <v>67</v>
      </c>
      <c r="G367" s="35" t="s">
        <v>48</v>
      </c>
      <c r="H367" s="51" t="s">
        <v>57</v>
      </c>
      <c r="I367" s="34" t="s">
        <v>351</v>
      </c>
      <c r="J367" s="52" t="s">
        <v>352</v>
      </c>
      <c r="K367" s="52" t="s">
        <v>60</v>
      </c>
      <c r="L367" s="51" t="s">
        <v>262</v>
      </c>
      <c r="M367" s="51" t="s">
        <v>8</v>
      </c>
      <c r="N367" s="36" t="s">
        <v>50</v>
      </c>
      <c r="O367" s="51"/>
      <c r="P367" s="51" t="s">
        <v>778</v>
      </c>
      <c r="Q367" s="37"/>
      <c r="R367" s="37"/>
      <c r="S367" s="35" t="s">
        <v>87</v>
      </c>
      <c r="T367" s="38">
        <f>+(16*190000+24*10000)*1.23</f>
        <v>4034400</v>
      </c>
      <c r="U367" s="39"/>
      <c r="V367" s="131"/>
      <c r="W367" s="38">
        <v>0</v>
      </c>
      <c r="X367" s="38">
        <f>+T367*0.235*0.3</f>
        <v>284425.2</v>
      </c>
      <c r="Y367" s="38">
        <f>+T367-X367</f>
        <v>3749974.8</v>
      </c>
      <c r="Z367" s="38">
        <v>0</v>
      </c>
      <c r="AA367" s="91">
        <v>0</v>
      </c>
      <c r="AB367" s="91">
        <v>0</v>
      </c>
      <c r="AC367" s="91">
        <v>0</v>
      </c>
      <c r="AD367" s="91">
        <v>0</v>
      </c>
      <c r="AE367" s="91">
        <v>0</v>
      </c>
      <c r="AF367" s="91">
        <v>0</v>
      </c>
      <c r="AG367" s="204">
        <v>0</v>
      </c>
    </row>
    <row r="368" spans="1:33" s="103" customFormat="1" ht="90" customHeight="1">
      <c r="A368" s="102">
        <f t="shared" si="55"/>
        <v>347</v>
      </c>
      <c r="B368" s="52"/>
      <c r="C368" s="51" t="s">
        <v>779</v>
      </c>
      <c r="D368" s="35" t="s">
        <v>65</v>
      </c>
      <c r="E368" s="35">
        <v>800013615</v>
      </c>
      <c r="F368" s="36" t="s">
        <v>67</v>
      </c>
      <c r="G368" s="35" t="s">
        <v>48</v>
      </c>
      <c r="H368" s="51" t="s">
        <v>57</v>
      </c>
      <c r="I368" s="34" t="s">
        <v>122</v>
      </c>
      <c r="J368" s="52" t="s">
        <v>767</v>
      </c>
      <c r="K368" s="52"/>
      <c r="L368" s="51" t="s">
        <v>262</v>
      </c>
      <c r="M368" s="51" t="s">
        <v>8</v>
      </c>
      <c r="N368" s="36" t="s">
        <v>50</v>
      </c>
      <c r="O368" s="51"/>
      <c r="P368" s="51" t="s">
        <v>780</v>
      </c>
      <c r="Q368" s="37"/>
      <c r="R368" s="37"/>
      <c r="S368" s="35" t="s">
        <v>52</v>
      </c>
      <c r="T368" s="38">
        <f>+(24*10000)*1.23</f>
        <v>295200</v>
      </c>
      <c r="U368" s="39"/>
      <c r="V368" s="131"/>
      <c r="W368" s="38">
        <v>0</v>
      </c>
      <c r="X368" s="38">
        <f>+T368</f>
        <v>295200</v>
      </c>
      <c r="Y368" s="38">
        <v>0</v>
      </c>
      <c r="Z368" s="38">
        <v>0</v>
      </c>
      <c r="AA368" s="91">
        <v>0</v>
      </c>
      <c r="AB368" s="91">
        <v>0</v>
      </c>
      <c r="AC368" s="91">
        <v>0</v>
      </c>
      <c r="AD368" s="91">
        <v>0</v>
      </c>
      <c r="AE368" s="91">
        <v>0</v>
      </c>
      <c r="AF368" s="91">
        <v>0</v>
      </c>
      <c r="AG368" s="204">
        <v>0</v>
      </c>
    </row>
    <row r="369" spans="1:33" s="103" customFormat="1" ht="90" customHeight="1">
      <c r="A369" s="102">
        <f t="shared" si="55"/>
        <v>348</v>
      </c>
      <c r="B369" s="52"/>
      <c r="C369" s="51" t="s">
        <v>781</v>
      </c>
      <c r="D369" s="35" t="s">
        <v>73</v>
      </c>
      <c r="E369" s="35">
        <v>800003384</v>
      </c>
      <c r="F369" s="36" t="s">
        <v>67</v>
      </c>
      <c r="G369" s="35" t="s">
        <v>48</v>
      </c>
      <c r="H369" s="51" t="s">
        <v>57</v>
      </c>
      <c r="I369" s="34" t="s">
        <v>266</v>
      </c>
      <c r="J369" s="52" t="s">
        <v>782</v>
      </c>
      <c r="K369" s="52" t="s">
        <v>60</v>
      </c>
      <c r="L369" s="51" t="s">
        <v>262</v>
      </c>
      <c r="M369" s="51" t="s">
        <v>8</v>
      </c>
      <c r="N369" s="36" t="s">
        <v>50</v>
      </c>
      <c r="O369" s="51"/>
      <c r="P369" s="51" t="s">
        <v>783</v>
      </c>
      <c r="Q369" s="37"/>
      <c r="R369" s="37"/>
      <c r="S369" s="35" t="s">
        <v>52</v>
      </c>
      <c r="T369" s="38">
        <f>+(22*10000)*1.23</f>
        <v>270600</v>
      </c>
      <c r="U369" s="39"/>
      <c r="V369" s="131"/>
      <c r="W369" s="38">
        <v>0</v>
      </c>
      <c r="X369" s="38">
        <f>+T369</f>
        <v>270600</v>
      </c>
      <c r="Y369" s="38">
        <v>0</v>
      </c>
      <c r="Z369" s="38">
        <v>0</v>
      </c>
      <c r="AA369" s="91">
        <v>0</v>
      </c>
      <c r="AB369" s="91">
        <v>0</v>
      </c>
      <c r="AC369" s="91">
        <v>0</v>
      </c>
      <c r="AD369" s="91">
        <v>0</v>
      </c>
      <c r="AE369" s="91">
        <v>0</v>
      </c>
      <c r="AF369" s="91">
        <v>0</v>
      </c>
      <c r="AG369" s="204">
        <v>0</v>
      </c>
    </row>
    <row r="370" spans="1:33" s="103" customFormat="1" ht="90" customHeight="1">
      <c r="A370" s="102">
        <f t="shared" si="55"/>
        <v>349</v>
      </c>
      <c r="B370" s="52"/>
      <c r="C370" s="51" t="s">
        <v>784</v>
      </c>
      <c r="D370" s="35" t="s">
        <v>73</v>
      </c>
      <c r="E370" s="35">
        <v>800025965</v>
      </c>
      <c r="F370" s="36" t="s">
        <v>67</v>
      </c>
      <c r="G370" s="35" t="s">
        <v>48</v>
      </c>
      <c r="H370" s="51" t="s">
        <v>57</v>
      </c>
      <c r="I370" s="34" t="s">
        <v>454</v>
      </c>
      <c r="J370" s="52" t="s">
        <v>188</v>
      </c>
      <c r="K370" s="52" t="s">
        <v>60</v>
      </c>
      <c r="L370" s="51" t="s">
        <v>262</v>
      </c>
      <c r="M370" s="51" t="s">
        <v>8</v>
      </c>
      <c r="N370" s="36" t="s">
        <v>50</v>
      </c>
      <c r="O370" s="51"/>
      <c r="P370" s="51" t="s">
        <v>785</v>
      </c>
      <c r="Q370" s="37"/>
      <c r="R370" s="37"/>
      <c r="S370" s="35" t="s">
        <v>52</v>
      </c>
      <c r="T370" s="38">
        <f>+(16*10000)*1.23</f>
        <v>196800</v>
      </c>
      <c r="U370" s="39"/>
      <c r="V370" s="131"/>
      <c r="W370" s="38">
        <v>0</v>
      </c>
      <c r="X370" s="38">
        <f t="shared" ref="X370" si="59">+T370</f>
        <v>196800</v>
      </c>
      <c r="Y370" s="38">
        <v>0</v>
      </c>
      <c r="Z370" s="38">
        <v>0</v>
      </c>
      <c r="AA370" s="91">
        <v>0</v>
      </c>
      <c r="AB370" s="91">
        <v>0</v>
      </c>
      <c r="AC370" s="91">
        <v>0</v>
      </c>
      <c r="AD370" s="91">
        <v>0</v>
      </c>
      <c r="AE370" s="91">
        <v>0</v>
      </c>
      <c r="AF370" s="91">
        <v>0</v>
      </c>
      <c r="AG370" s="204">
        <v>0</v>
      </c>
    </row>
    <row r="371" spans="1:33" s="103" customFormat="1" ht="90" customHeight="1">
      <c r="A371" s="102">
        <f t="shared" si="55"/>
        <v>350</v>
      </c>
      <c r="B371" s="52"/>
      <c r="C371" s="51" t="s">
        <v>786</v>
      </c>
      <c r="D371" s="35" t="s">
        <v>65</v>
      </c>
      <c r="E371" s="35">
        <v>800021907</v>
      </c>
      <c r="F371" s="36" t="s">
        <v>67</v>
      </c>
      <c r="G371" s="35" t="s">
        <v>48</v>
      </c>
      <c r="H371" s="51" t="s">
        <v>57</v>
      </c>
      <c r="I371" s="34" t="s">
        <v>454</v>
      </c>
      <c r="J371" s="52" t="s">
        <v>188</v>
      </c>
      <c r="K371" s="52" t="s">
        <v>60</v>
      </c>
      <c r="L371" s="51" t="s">
        <v>262</v>
      </c>
      <c r="M371" s="51" t="s">
        <v>8</v>
      </c>
      <c r="N371" s="36" t="s">
        <v>50</v>
      </c>
      <c r="O371" s="51"/>
      <c r="P371" s="51" t="s">
        <v>787</v>
      </c>
      <c r="Q371" s="37"/>
      <c r="R371" s="37"/>
      <c r="S371" s="35" t="s">
        <v>52</v>
      </c>
      <c r="T371" s="38">
        <f>+(5*190000+15*10000)*1.23</f>
        <v>1353000</v>
      </c>
      <c r="U371" s="39"/>
      <c r="V371" s="131"/>
      <c r="W371" s="38">
        <v>0</v>
      </c>
      <c r="X371" s="38">
        <f t="shared" ref="X371:X376" si="60">+T371</f>
        <v>1353000</v>
      </c>
      <c r="Y371" s="38">
        <v>0</v>
      </c>
      <c r="Z371" s="38">
        <v>0</v>
      </c>
      <c r="AA371" s="91">
        <v>0</v>
      </c>
      <c r="AB371" s="91">
        <v>0</v>
      </c>
      <c r="AC371" s="91">
        <v>0</v>
      </c>
      <c r="AD371" s="91">
        <v>0</v>
      </c>
      <c r="AE371" s="91">
        <v>0</v>
      </c>
      <c r="AF371" s="91">
        <v>0</v>
      </c>
      <c r="AG371" s="204">
        <v>0</v>
      </c>
    </row>
    <row r="372" spans="1:33" s="103" customFormat="1" ht="90" customHeight="1">
      <c r="A372" s="102">
        <f t="shared" si="55"/>
        <v>351</v>
      </c>
      <c r="B372" s="52"/>
      <c r="C372" s="51" t="s">
        <v>788</v>
      </c>
      <c r="D372" s="35" t="s">
        <v>65</v>
      </c>
      <c r="E372" s="35">
        <v>800008011</v>
      </c>
      <c r="F372" s="36" t="s">
        <v>67</v>
      </c>
      <c r="G372" s="35" t="s">
        <v>48</v>
      </c>
      <c r="H372" s="51" t="s">
        <v>57</v>
      </c>
      <c r="I372" s="34" t="s">
        <v>789</v>
      </c>
      <c r="J372" s="52" t="s">
        <v>158</v>
      </c>
      <c r="K372" s="52"/>
      <c r="L372" s="51" t="s">
        <v>262</v>
      </c>
      <c r="M372" s="51" t="s">
        <v>8</v>
      </c>
      <c r="N372" s="36" t="s">
        <v>50</v>
      </c>
      <c r="O372" s="51"/>
      <c r="P372" s="51" t="s">
        <v>790</v>
      </c>
      <c r="Q372" s="37"/>
      <c r="R372" s="37"/>
      <c r="S372" s="35" t="s">
        <v>52</v>
      </c>
      <c r="T372" s="38">
        <f>+(2*190000+15*10000)*1.23</f>
        <v>651900</v>
      </c>
      <c r="U372" s="39"/>
      <c r="V372" s="131"/>
      <c r="W372" s="38">
        <v>0</v>
      </c>
      <c r="X372" s="38">
        <f t="shared" si="60"/>
        <v>651900</v>
      </c>
      <c r="Y372" s="38">
        <v>0</v>
      </c>
      <c r="Z372" s="38">
        <v>0</v>
      </c>
      <c r="AA372" s="91">
        <v>0</v>
      </c>
      <c r="AB372" s="91">
        <v>0</v>
      </c>
      <c r="AC372" s="91">
        <v>0</v>
      </c>
      <c r="AD372" s="91">
        <v>0</v>
      </c>
      <c r="AE372" s="91">
        <v>0</v>
      </c>
      <c r="AF372" s="91">
        <v>0</v>
      </c>
      <c r="AG372" s="204">
        <v>0</v>
      </c>
    </row>
    <row r="373" spans="1:33" s="103" customFormat="1" ht="90" customHeight="1">
      <c r="A373" s="102">
        <f t="shared" si="55"/>
        <v>352</v>
      </c>
      <c r="B373" s="52"/>
      <c r="C373" s="51" t="s">
        <v>791</v>
      </c>
      <c r="D373" s="35" t="s">
        <v>73</v>
      </c>
      <c r="E373" s="35">
        <v>800002105</v>
      </c>
      <c r="F373" s="36" t="s">
        <v>67</v>
      </c>
      <c r="G373" s="35" t="s">
        <v>48</v>
      </c>
      <c r="H373" s="51" t="s">
        <v>57</v>
      </c>
      <c r="I373" s="34" t="s">
        <v>792</v>
      </c>
      <c r="J373" s="52" t="s">
        <v>188</v>
      </c>
      <c r="K373" s="52" t="s">
        <v>60</v>
      </c>
      <c r="L373" s="51" t="s">
        <v>262</v>
      </c>
      <c r="M373" s="51" t="s">
        <v>8</v>
      </c>
      <c r="N373" s="36" t="s">
        <v>50</v>
      </c>
      <c r="O373" s="51"/>
      <c r="P373" s="51" t="s">
        <v>793</v>
      </c>
      <c r="Q373" s="37"/>
      <c r="R373" s="37"/>
      <c r="S373" s="35" t="s">
        <v>52</v>
      </c>
      <c r="T373" s="38">
        <f>+(12*190000+10*10000)*1.23</f>
        <v>2927400</v>
      </c>
      <c r="U373" s="39"/>
      <c r="V373" s="131"/>
      <c r="W373" s="38">
        <v>0</v>
      </c>
      <c r="X373" s="38">
        <f t="shared" si="60"/>
        <v>2927400</v>
      </c>
      <c r="Y373" s="38">
        <v>0</v>
      </c>
      <c r="Z373" s="38">
        <v>0</v>
      </c>
      <c r="AA373" s="91">
        <v>0</v>
      </c>
      <c r="AB373" s="91">
        <v>0</v>
      </c>
      <c r="AC373" s="91">
        <v>0</v>
      </c>
      <c r="AD373" s="91">
        <v>0</v>
      </c>
      <c r="AE373" s="91">
        <v>0</v>
      </c>
      <c r="AF373" s="91">
        <v>0</v>
      </c>
      <c r="AG373" s="204">
        <v>0</v>
      </c>
    </row>
    <row r="374" spans="1:33" s="103" customFormat="1" ht="90" customHeight="1">
      <c r="A374" s="102">
        <f t="shared" si="55"/>
        <v>353</v>
      </c>
      <c r="B374" s="52"/>
      <c r="C374" s="51" t="s">
        <v>794</v>
      </c>
      <c r="D374" s="35" t="s">
        <v>73</v>
      </c>
      <c r="E374" s="35">
        <v>800022558</v>
      </c>
      <c r="F374" s="36" t="s">
        <v>67</v>
      </c>
      <c r="G374" s="35" t="s">
        <v>48</v>
      </c>
      <c r="H374" s="51" t="s">
        <v>57</v>
      </c>
      <c r="I374" s="34" t="s">
        <v>450</v>
      </c>
      <c r="J374" s="52" t="s">
        <v>188</v>
      </c>
      <c r="K374" s="52" t="s">
        <v>60</v>
      </c>
      <c r="L374" s="51" t="s">
        <v>262</v>
      </c>
      <c r="M374" s="51" t="s">
        <v>8</v>
      </c>
      <c r="N374" s="36" t="s">
        <v>50</v>
      </c>
      <c r="O374" s="51"/>
      <c r="P374" s="51" t="s">
        <v>795</v>
      </c>
      <c r="Q374" s="37"/>
      <c r="R374" s="37"/>
      <c r="S374" s="35" t="s">
        <v>52</v>
      </c>
      <c r="T374" s="38">
        <f>+(3*190000+10*10000)*1.23</f>
        <v>824100</v>
      </c>
      <c r="U374" s="39"/>
      <c r="V374" s="131"/>
      <c r="W374" s="38">
        <v>0</v>
      </c>
      <c r="X374" s="38">
        <f t="shared" si="60"/>
        <v>824100</v>
      </c>
      <c r="Y374" s="38">
        <v>0</v>
      </c>
      <c r="Z374" s="38">
        <v>0</v>
      </c>
      <c r="AA374" s="91">
        <v>0</v>
      </c>
      <c r="AB374" s="91">
        <v>0</v>
      </c>
      <c r="AC374" s="91">
        <v>0</v>
      </c>
      <c r="AD374" s="91">
        <v>0</v>
      </c>
      <c r="AE374" s="91">
        <v>0</v>
      </c>
      <c r="AF374" s="91">
        <v>0</v>
      </c>
      <c r="AG374" s="204">
        <v>0</v>
      </c>
    </row>
    <row r="375" spans="1:33" s="103" customFormat="1" ht="90" customHeight="1">
      <c r="A375" s="102">
        <f t="shared" si="55"/>
        <v>354</v>
      </c>
      <c r="B375" s="52"/>
      <c r="C375" s="51" t="s">
        <v>796</v>
      </c>
      <c r="D375" s="35" t="s">
        <v>65</v>
      </c>
      <c r="E375" s="35">
        <v>80000406</v>
      </c>
      <c r="F375" s="36" t="s">
        <v>67</v>
      </c>
      <c r="G375" s="35" t="s">
        <v>48</v>
      </c>
      <c r="H375" s="51" t="s">
        <v>57</v>
      </c>
      <c r="I375" s="34" t="s">
        <v>454</v>
      </c>
      <c r="J375" s="52" t="s">
        <v>188</v>
      </c>
      <c r="K375" s="52" t="s">
        <v>60</v>
      </c>
      <c r="L375" s="51" t="s">
        <v>262</v>
      </c>
      <c r="M375" s="51" t="s">
        <v>8</v>
      </c>
      <c r="N375" s="36" t="s">
        <v>50</v>
      </c>
      <c r="O375" s="51"/>
      <c r="P375" s="51" t="s">
        <v>797</v>
      </c>
      <c r="Q375" s="37"/>
      <c r="R375" s="37"/>
      <c r="S375" s="35" t="s">
        <v>52</v>
      </c>
      <c r="T375" s="38">
        <f>+(10*10000)*1.23</f>
        <v>123000</v>
      </c>
      <c r="U375" s="39"/>
      <c r="V375" s="131"/>
      <c r="W375" s="38">
        <v>0</v>
      </c>
      <c r="X375" s="38">
        <f t="shared" si="60"/>
        <v>123000</v>
      </c>
      <c r="Y375" s="38">
        <v>0</v>
      </c>
      <c r="Z375" s="38">
        <v>0</v>
      </c>
      <c r="AA375" s="91">
        <v>0</v>
      </c>
      <c r="AB375" s="91">
        <v>0</v>
      </c>
      <c r="AC375" s="91">
        <v>0</v>
      </c>
      <c r="AD375" s="91">
        <v>0</v>
      </c>
      <c r="AE375" s="91">
        <v>0</v>
      </c>
      <c r="AF375" s="91">
        <v>0</v>
      </c>
      <c r="AG375" s="204">
        <v>0</v>
      </c>
    </row>
    <row r="376" spans="1:33" s="103" customFormat="1" ht="90" customHeight="1">
      <c r="A376" s="102">
        <f t="shared" si="55"/>
        <v>355</v>
      </c>
      <c r="B376" s="52"/>
      <c r="C376" s="51" t="s">
        <v>798</v>
      </c>
      <c r="D376" s="35" t="s">
        <v>65</v>
      </c>
      <c r="E376" s="35">
        <v>800007898</v>
      </c>
      <c r="F376" s="36" t="s">
        <v>67</v>
      </c>
      <c r="G376" s="35" t="s">
        <v>48</v>
      </c>
      <c r="H376" s="51" t="s">
        <v>57</v>
      </c>
      <c r="I376" s="34" t="s">
        <v>792</v>
      </c>
      <c r="J376" s="52" t="s">
        <v>188</v>
      </c>
      <c r="K376" s="52" t="s">
        <v>60</v>
      </c>
      <c r="L376" s="51" t="s">
        <v>262</v>
      </c>
      <c r="M376" s="51" t="s">
        <v>8</v>
      </c>
      <c r="N376" s="36" t="s">
        <v>50</v>
      </c>
      <c r="O376" s="51"/>
      <c r="P376" s="51" t="s">
        <v>799</v>
      </c>
      <c r="Q376" s="37"/>
      <c r="R376" s="37"/>
      <c r="S376" s="35" t="s">
        <v>52</v>
      </c>
      <c r="T376" s="38">
        <f>+(8*10000)*1.23</f>
        <v>98400</v>
      </c>
      <c r="U376" s="39"/>
      <c r="V376" s="131"/>
      <c r="W376" s="38">
        <v>0</v>
      </c>
      <c r="X376" s="38">
        <f t="shared" si="60"/>
        <v>98400</v>
      </c>
      <c r="Y376" s="38">
        <v>0</v>
      </c>
      <c r="Z376" s="38">
        <v>0</v>
      </c>
      <c r="AA376" s="91">
        <v>0</v>
      </c>
      <c r="AB376" s="91">
        <v>0</v>
      </c>
      <c r="AC376" s="91">
        <v>0</v>
      </c>
      <c r="AD376" s="91">
        <v>0</v>
      </c>
      <c r="AE376" s="91">
        <v>0</v>
      </c>
      <c r="AF376" s="91">
        <v>0</v>
      </c>
      <c r="AG376" s="204">
        <v>0</v>
      </c>
    </row>
    <row r="377" spans="1:33" s="103" customFormat="1" ht="90" customHeight="1">
      <c r="A377" s="102">
        <f t="shared" si="55"/>
        <v>356</v>
      </c>
      <c r="B377" s="52"/>
      <c r="C377" s="51" t="s">
        <v>800</v>
      </c>
      <c r="D377" s="35" t="s">
        <v>65</v>
      </c>
      <c r="E377" s="35">
        <v>800034957</v>
      </c>
      <c r="F377" s="36" t="s">
        <v>67</v>
      </c>
      <c r="G377" s="35" t="s">
        <v>48</v>
      </c>
      <c r="H377" s="51" t="s">
        <v>57</v>
      </c>
      <c r="I377" s="34" t="s">
        <v>320</v>
      </c>
      <c r="J377" s="52" t="s">
        <v>188</v>
      </c>
      <c r="K377" s="52" t="s">
        <v>60</v>
      </c>
      <c r="L377" s="51" t="s">
        <v>262</v>
      </c>
      <c r="M377" s="51" t="s">
        <v>8</v>
      </c>
      <c r="N377" s="36" t="s">
        <v>50</v>
      </c>
      <c r="O377" s="51"/>
      <c r="P377" s="51" t="s">
        <v>799</v>
      </c>
      <c r="Q377" s="37">
        <v>42125</v>
      </c>
      <c r="R377" s="37">
        <v>42247</v>
      </c>
      <c r="S377" s="35" t="s">
        <v>52</v>
      </c>
      <c r="T377" s="38">
        <f>+(8*10000)*1.23</f>
        <v>98400</v>
      </c>
      <c r="U377" s="39"/>
      <c r="V377" s="131"/>
      <c r="W377" s="38">
        <v>0</v>
      </c>
      <c r="X377" s="38">
        <v>98400</v>
      </c>
      <c r="Y377" s="38">
        <v>0</v>
      </c>
      <c r="Z377" s="38">
        <v>0</v>
      </c>
      <c r="AA377" s="91">
        <v>0</v>
      </c>
      <c r="AB377" s="91">
        <v>0</v>
      </c>
      <c r="AC377" s="91">
        <v>0</v>
      </c>
      <c r="AD377" s="91">
        <v>0</v>
      </c>
      <c r="AE377" s="91">
        <v>0</v>
      </c>
      <c r="AF377" s="91">
        <v>0</v>
      </c>
      <c r="AG377" s="204">
        <v>0</v>
      </c>
    </row>
    <row r="378" spans="1:33" s="103" customFormat="1" ht="90" customHeight="1">
      <c r="A378" s="102">
        <f t="shared" si="55"/>
        <v>357</v>
      </c>
      <c r="B378" s="52"/>
      <c r="C378" s="51" t="s">
        <v>801</v>
      </c>
      <c r="D378" s="35" t="s">
        <v>65</v>
      </c>
      <c r="E378" s="35">
        <v>800010520</v>
      </c>
      <c r="F378" s="36" t="s">
        <v>67</v>
      </c>
      <c r="G378" s="35" t="s">
        <v>48</v>
      </c>
      <c r="H378" s="51" t="s">
        <v>57</v>
      </c>
      <c r="I378" s="34" t="s">
        <v>379</v>
      </c>
      <c r="J378" s="52" t="s">
        <v>188</v>
      </c>
      <c r="K378" s="52" t="s">
        <v>60</v>
      </c>
      <c r="L378" s="51" t="s">
        <v>262</v>
      </c>
      <c r="M378" s="51" t="s">
        <v>8</v>
      </c>
      <c r="N378" s="36" t="s">
        <v>50</v>
      </c>
      <c r="O378" s="51"/>
      <c r="P378" s="51" t="s">
        <v>799</v>
      </c>
      <c r="Q378" s="37"/>
      <c r="R378" s="37"/>
      <c r="S378" s="35" t="s">
        <v>52</v>
      </c>
      <c r="T378" s="38">
        <f t="shared" ref="T378" si="61">+(8*10000)*1.23</f>
        <v>98400</v>
      </c>
      <c r="U378" s="39"/>
      <c r="V378" s="131"/>
      <c r="W378" s="38">
        <v>0</v>
      </c>
      <c r="X378" s="38">
        <f>+T378</f>
        <v>98400</v>
      </c>
      <c r="Y378" s="38">
        <v>0</v>
      </c>
      <c r="Z378" s="38">
        <v>0</v>
      </c>
      <c r="AA378" s="91">
        <v>0</v>
      </c>
      <c r="AB378" s="91">
        <v>0</v>
      </c>
      <c r="AC378" s="91">
        <v>0</v>
      </c>
      <c r="AD378" s="91">
        <v>0</v>
      </c>
      <c r="AE378" s="91">
        <v>0</v>
      </c>
      <c r="AF378" s="91">
        <v>0</v>
      </c>
      <c r="AG378" s="204">
        <v>0</v>
      </c>
    </row>
    <row r="379" spans="1:33" s="103" customFormat="1" ht="90" customHeight="1">
      <c r="A379" s="102">
        <f t="shared" si="55"/>
        <v>358</v>
      </c>
      <c r="B379" s="52"/>
      <c r="C379" s="51" t="s">
        <v>802</v>
      </c>
      <c r="D379" s="35" t="s">
        <v>65</v>
      </c>
      <c r="E379" s="35">
        <v>800006197</v>
      </c>
      <c r="F379" s="36" t="s">
        <v>67</v>
      </c>
      <c r="G379" s="35" t="s">
        <v>48</v>
      </c>
      <c r="H379" s="51" t="s">
        <v>57</v>
      </c>
      <c r="I379" s="34" t="s">
        <v>803</v>
      </c>
      <c r="J379" s="52" t="s">
        <v>116</v>
      </c>
      <c r="K379" s="52"/>
      <c r="L379" s="51" t="s">
        <v>262</v>
      </c>
      <c r="M379" s="51" t="s">
        <v>8</v>
      </c>
      <c r="N379" s="36" t="s">
        <v>50</v>
      </c>
      <c r="O379" s="51"/>
      <c r="P379" s="51" t="s">
        <v>804</v>
      </c>
      <c r="Q379" s="37"/>
      <c r="R379" s="37"/>
      <c r="S379" s="35" t="s">
        <v>52</v>
      </c>
      <c r="T379" s="38">
        <f>+(6*10000)*1.23</f>
        <v>73800</v>
      </c>
      <c r="U379" s="39"/>
      <c r="V379" s="131"/>
      <c r="W379" s="38">
        <v>0</v>
      </c>
      <c r="X379" s="38">
        <f>+T379</f>
        <v>73800</v>
      </c>
      <c r="Y379" s="38">
        <v>0</v>
      </c>
      <c r="Z379" s="38">
        <v>0</v>
      </c>
      <c r="AA379" s="91">
        <v>0</v>
      </c>
      <c r="AB379" s="91">
        <v>0</v>
      </c>
      <c r="AC379" s="91">
        <v>0</v>
      </c>
      <c r="AD379" s="91">
        <v>0</v>
      </c>
      <c r="AE379" s="91">
        <v>0</v>
      </c>
      <c r="AF379" s="91">
        <v>0</v>
      </c>
      <c r="AG379" s="204">
        <f>+AE379*1.15</f>
        <v>0</v>
      </c>
    </row>
    <row r="380" spans="1:33" s="103" customFormat="1" ht="90" customHeight="1">
      <c r="A380" s="102">
        <f t="shared" si="55"/>
        <v>359</v>
      </c>
      <c r="B380" s="52"/>
      <c r="C380" s="51" t="s">
        <v>805</v>
      </c>
      <c r="D380" s="35" t="s">
        <v>73</v>
      </c>
      <c r="E380" s="35">
        <v>800028779</v>
      </c>
      <c r="F380" s="36" t="s">
        <v>67</v>
      </c>
      <c r="G380" s="35" t="s">
        <v>48</v>
      </c>
      <c r="H380" s="51" t="s">
        <v>57</v>
      </c>
      <c r="I380" s="34" t="s">
        <v>157</v>
      </c>
      <c r="J380" s="52" t="s">
        <v>158</v>
      </c>
      <c r="K380" s="52"/>
      <c r="L380" s="51" t="s">
        <v>61</v>
      </c>
      <c r="M380" s="51" t="s">
        <v>117</v>
      </c>
      <c r="N380" s="36" t="s">
        <v>50</v>
      </c>
      <c r="O380" s="51"/>
      <c r="P380" s="51" t="s">
        <v>806</v>
      </c>
      <c r="Q380" s="37"/>
      <c r="R380" s="37"/>
      <c r="S380" s="35" t="s">
        <v>96</v>
      </c>
      <c r="T380" s="38">
        <f>+(1350000)*1.23</f>
        <v>1660500</v>
      </c>
      <c r="U380" s="39"/>
      <c r="V380" s="131"/>
      <c r="W380" s="38">
        <v>0</v>
      </c>
      <c r="X380" s="38">
        <v>0</v>
      </c>
      <c r="Y380" s="132">
        <f>+T380</f>
        <v>1660500</v>
      </c>
      <c r="Z380" s="38">
        <v>0</v>
      </c>
      <c r="AA380" s="91">
        <v>0</v>
      </c>
      <c r="AB380" s="91">
        <v>0</v>
      </c>
      <c r="AC380" s="91">
        <v>0</v>
      </c>
      <c r="AD380" s="91">
        <v>0</v>
      </c>
      <c r="AE380" s="91">
        <v>0</v>
      </c>
      <c r="AF380" s="91">
        <v>0</v>
      </c>
      <c r="AG380" s="204">
        <v>0</v>
      </c>
    </row>
    <row r="381" spans="1:33" s="103" customFormat="1" ht="90" customHeight="1">
      <c r="A381" s="102">
        <f t="shared" si="55"/>
        <v>360</v>
      </c>
      <c r="B381" s="52"/>
      <c r="C381" s="51" t="s">
        <v>807</v>
      </c>
      <c r="D381" s="35" t="s">
        <v>73</v>
      </c>
      <c r="E381" s="35">
        <v>800021451</v>
      </c>
      <c r="F381" s="36" t="s">
        <v>67</v>
      </c>
      <c r="G381" s="35" t="s">
        <v>48</v>
      </c>
      <c r="H381" s="51" t="s">
        <v>57</v>
      </c>
      <c r="I381" s="34" t="s">
        <v>320</v>
      </c>
      <c r="J381" s="52" t="s">
        <v>188</v>
      </c>
      <c r="K381" s="52" t="s">
        <v>60</v>
      </c>
      <c r="L381" s="51" t="s">
        <v>61</v>
      </c>
      <c r="M381" s="51" t="s">
        <v>117</v>
      </c>
      <c r="N381" s="36" t="s">
        <v>50</v>
      </c>
      <c r="O381" s="51"/>
      <c r="P381" s="51" t="s">
        <v>806</v>
      </c>
      <c r="Q381" s="37"/>
      <c r="R381" s="37"/>
      <c r="S381" s="35" t="s">
        <v>96</v>
      </c>
      <c r="T381" s="38">
        <f t="shared" ref="T381:T390" si="62">+(1350000)*1.23</f>
        <v>1660500</v>
      </c>
      <c r="U381" s="39"/>
      <c r="V381" s="131"/>
      <c r="W381" s="38">
        <v>0</v>
      </c>
      <c r="X381" s="38">
        <v>0</v>
      </c>
      <c r="Y381" s="38">
        <v>0</v>
      </c>
      <c r="Z381" s="38">
        <f>+T381</f>
        <v>1660500</v>
      </c>
      <c r="AA381" s="91">
        <v>0</v>
      </c>
      <c r="AB381" s="91">
        <v>0</v>
      </c>
      <c r="AC381" s="91">
        <v>0</v>
      </c>
      <c r="AD381" s="91">
        <v>0</v>
      </c>
      <c r="AE381" s="91">
        <v>0</v>
      </c>
      <c r="AF381" s="91">
        <v>0</v>
      </c>
      <c r="AG381" s="204">
        <v>0</v>
      </c>
    </row>
    <row r="382" spans="1:33" s="103" customFormat="1" ht="90" customHeight="1">
      <c r="A382" s="102">
        <f t="shared" si="55"/>
        <v>361</v>
      </c>
      <c r="B382" s="52"/>
      <c r="C382" s="51" t="s">
        <v>808</v>
      </c>
      <c r="D382" s="35" t="s">
        <v>65</v>
      </c>
      <c r="E382" s="35">
        <v>800018242</v>
      </c>
      <c r="F382" s="36" t="s">
        <v>67</v>
      </c>
      <c r="G382" s="35" t="s">
        <v>48</v>
      </c>
      <c r="H382" s="51" t="s">
        <v>57</v>
      </c>
      <c r="I382" s="34" t="s">
        <v>266</v>
      </c>
      <c r="J382" s="52" t="s">
        <v>809</v>
      </c>
      <c r="K382" s="52" t="s">
        <v>60</v>
      </c>
      <c r="L382" s="51" t="s">
        <v>61</v>
      </c>
      <c r="M382" s="51" t="s">
        <v>117</v>
      </c>
      <c r="N382" s="36" t="s">
        <v>50</v>
      </c>
      <c r="O382" s="51"/>
      <c r="P382" s="51" t="s">
        <v>806</v>
      </c>
      <c r="Q382" s="37"/>
      <c r="R382" s="37"/>
      <c r="S382" s="35" t="s">
        <v>96</v>
      </c>
      <c r="T382" s="38">
        <f t="shared" si="62"/>
        <v>1660500</v>
      </c>
      <c r="U382" s="39"/>
      <c r="V382" s="131"/>
      <c r="W382" s="38">
        <v>0</v>
      </c>
      <c r="X382" s="38">
        <v>0</v>
      </c>
      <c r="Y382" s="132">
        <f>+T382</f>
        <v>1660500</v>
      </c>
      <c r="Z382" s="38">
        <v>0</v>
      </c>
      <c r="AA382" s="91">
        <v>0</v>
      </c>
      <c r="AB382" s="91">
        <v>0</v>
      </c>
      <c r="AC382" s="91">
        <v>0</v>
      </c>
      <c r="AD382" s="91">
        <v>0</v>
      </c>
      <c r="AE382" s="91">
        <v>0</v>
      </c>
      <c r="AF382" s="91">
        <v>0</v>
      </c>
      <c r="AG382" s="204">
        <v>0</v>
      </c>
    </row>
    <row r="383" spans="1:33" s="103" customFormat="1" ht="90" customHeight="1">
      <c r="A383" s="102">
        <f t="shared" si="55"/>
        <v>362</v>
      </c>
      <c r="B383" s="52"/>
      <c r="C383" s="51" t="s">
        <v>810</v>
      </c>
      <c r="D383" s="35" t="s">
        <v>73</v>
      </c>
      <c r="E383" s="35">
        <v>800019380</v>
      </c>
      <c r="F383" s="36" t="s">
        <v>67</v>
      </c>
      <c r="G383" s="35" t="s">
        <v>48</v>
      </c>
      <c r="H383" s="51" t="s">
        <v>57</v>
      </c>
      <c r="I383" s="34" t="s">
        <v>379</v>
      </c>
      <c r="J383" s="52" t="s">
        <v>188</v>
      </c>
      <c r="K383" s="52" t="s">
        <v>60</v>
      </c>
      <c r="L383" s="51" t="s">
        <v>61</v>
      </c>
      <c r="M383" s="51" t="s">
        <v>117</v>
      </c>
      <c r="N383" s="36" t="s">
        <v>50</v>
      </c>
      <c r="O383" s="51"/>
      <c r="P383" s="51" t="s">
        <v>806</v>
      </c>
      <c r="Q383" s="37"/>
      <c r="R383" s="37"/>
      <c r="S383" s="35" t="s">
        <v>96</v>
      </c>
      <c r="T383" s="38">
        <f t="shared" si="62"/>
        <v>1660500</v>
      </c>
      <c r="U383" s="39"/>
      <c r="V383" s="131"/>
      <c r="W383" s="38">
        <v>0</v>
      </c>
      <c r="X383" s="38">
        <v>0</v>
      </c>
      <c r="Y383" s="132">
        <f>+T383</f>
        <v>1660500</v>
      </c>
      <c r="Z383" s="38">
        <v>0</v>
      </c>
      <c r="AA383" s="91">
        <v>0</v>
      </c>
      <c r="AB383" s="91">
        <v>0</v>
      </c>
      <c r="AC383" s="91">
        <v>0</v>
      </c>
      <c r="AD383" s="91">
        <v>0</v>
      </c>
      <c r="AE383" s="91">
        <v>0</v>
      </c>
      <c r="AF383" s="91">
        <v>0</v>
      </c>
      <c r="AG383" s="204">
        <v>0</v>
      </c>
    </row>
    <row r="384" spans="1:33" s="103" customFormat="1" ht="90" customHeight="1">
      <c r="A384" s="102">
        <f t="shared" si="55"/>
        <v>363</v>
      </c>
      <c r="B384" s="52"/>
      <c r="C384" s="51" t="s">
        <v>811</v>
      </c>
      <c r="D384" s="35" t="s">
        <v>65</v>
      </c>
      <c r="E384" s="35">
        <v>800014415</v>
      </c>
      <c r="F384" s="36" t="s">
        <v>67</v>
      </c>
      <c r="G384" s="35" t="s">
        <v>48</v>
      </c>
      <c r="H384" s="51" t="s">
        <v>57</v>
      </c>
      <c r="I384" s="34" t="s">
        <v>734</v>
      </c>
      <c r="J384" s="52" t="s">
        <v>158</v>
      </c>
      <c r="K384" s="52"/>
      <c r="L384" s="51" t="s">
        <v>61</v>
      </c>
      <c r="M384" s="51" t="s">
        <v>117</v>
      </c>
      <c r="N384" s="36" t="s">
        <v>50</v>
      </c>
      <c r="O384" s="51"/>
      <c r="P384" s="51" t="s">
        <v>806</v>
      </c>
      <c r="Q384" s="37"/>
      <c r="R384" s="37"/>
      <c r="S384" s="35" t="s">
        <v>96</v>
      </c>
      <c r="T384" s="38">
        <f t="shared" si="62"/>
        <v>1660500</v>
      </c>
      <c r="U384" s="39"/>
      <c r="V384" s="131"/>
      <c r="W384" s="38">
        <v>0</v>
      </c>
      <c r="X384" s="38">
        <v>0</v>
      </c>
      <c r="Y384" s="38">
        <v>0</v>
      </c>
      <c r="Z384" s="38">
        <v>0</v>
      </c>
      <c r="AA384" s="91">
        <f>+T384</f>
        <v>1660500</v>
      </c>
      <c r="AB384" s="91">
        <v>0</v>
      </c>
      <c r="AC384" s="91">
        <v>0</v>
      </c>
      <c r="AD384" s="91">
        <v>0</v>
      </c>
      <c r="AE384" s="91">
        <v>0</v>
      </c>
      <c r="AF384" s="91">
        <v>0</v>
      </c>
      <c r="AG384" s="204">
        <v>0</v>
      </c>
    </row>
    <row r="385" spans="1:33" s="103" customFormat="1" ht="90" customHeight="1">
      <c r="A385" s="102">
        <f t="shared" si="55"/>
        <v>364</v>
      </c>
      <c r="B385" s="52"/>
      <c r="C385" s="51" t="s">
        <v>812</v>
      </c>
      <c r="D385" s="35" t="s">
        <v>65</v>
      </c>
      <c r="E385" s="35">
        <v>800009092</v>
      </c>
      <c r="F385" s="36" t="s">
        <v>67</v>
      </c>
      <c r="G385" s="35" t="s">
        <v>48</v>
      </c>
      <c r="H385" s="51" t="s">
        <v>57</v>
      </c>
      <c r="I385" s="34" t="s">
        <v>450</v>
      </c>
      <c r="J385" s="52" t="s">
        <v>188</v>
      </c>
      <c r="K385" s="52" t="s">
        <v>60</v>
      </c>
      <c r="L385" s="51" t="s">
        <v>61</v>
      </c>
      <c r="M385" s="51" t="s">
        <v>117</v>
      </c>
      <c r="N385" s="36" t="s">
        <v>50</v>
      </c>
      <c r="O385" s="51"/>
      <c r="P385" s="51" t="s">
        <v>806</v>
      </c>
      <c r="Q385" s="37"/>
      <c r="R385" s="37"/>
      <c r="S385" s="35" t="s">
        <v>96</v>
      </c>
      <c r="T385" s="38">
        <f t="shared" si="62"/>
        <v>1660500</v>
      </c>
      <c r="U385" s="39"/>
      <c r="V385" s="131"/>
      <c r="W385" s="38">
        <v>0</v>
      </c>
      <c r="X385" s="38">
        <v>0</v>
      </c>
      <c r="Y385" s="38">
        <v>0</v>
      </c>
      <c r="Z385" s="38">
        <v>0</v>
      </c>
      <c r="AA385" s="91">
        <f>+T385</f>
        <v>1660500</v>
      </c>
      <c r="AB385" s="91">
        <v>0</v>
      </c>
      <c r="AC385" s="91">
        <v>0</v>
      </c>
      <c r="AD385" s="91">
        <v>0</v>
      </c>
      <c r="AE385" s="91">
        <v>0</v>
      </c>
      <c r="AF385" s="91">
        <v>0</v>
      </c>
      <c r="AG385" s="204">
        <v>0</v>
      </c>
    </row>
    <row r="386" spans="1:33" s="103" customFormat="1" ht="90" customHeight="1">
      <c r="A386" s="102">
        <f t="shared" si="55"/>
        <v>365</v>
      </c>
      <c r="B386" s="52"/>
      <c r="C386" s="51" t="s">
        <v>813</v>
      </c>
      <c r="D386" s="35" t="s">
        <v>96</v>
      </c>
      <c r="E386" s="35">
        <v>800012609</v>
      </c>
      <c r="F386" s="36" t="s">
        <v>67</v>
      </c>
      <c r="G386" s="35" t="s">
        <v>48</v>
      </c>
      <c r="H386" s="51" t="s">
        <v>57</v>
      </c>
      <c r="I386" s="34" t="s">
        <v>450</v>
      </c>
      <c r="J386" s="52" t="s">
        <v>188</v>
      </c>
      <c r="K386" s="52" t="s">
        <v>60</v>
      </c>
      <c r="L386" s="51" t="s">
        <v>61</v>
      </c>
      <c r="M386" s="51" t="s">
        <v>117</v>
      </c>
      <c r="N386" s="36" t="s">
        <v>50</v>
      </c>
      <c r="O386" s="51"/>
      <c r="P386" s="51" t="s">
        <v>806</v>
      </c>
      <c r="Q386" s="37"/>
      <c r="R386" s="37"/>
      <c r="S386" s="35" t="s">
        <v>96</v>
      </c>
      <c r="T386" s="38">
        <f t="shared" si="62"/>
        <v>1660500</v>
      </c>
      <c r="U386" s="39"/>
      <c r="V386" s="131"/>
      <c r="W386" s="38">
        <v>0</v>
      </c>
      <c r="X386" s="38">
        <v>0</v>
      </c>
      <c r="Y386" s="132">
        <f>+T386</f>
        <v>1660500</v>
      </c>
      <c r="Z386" s="38">
        <v>0</v>
      </c>
      <c r="AA386" s="91">
        <v>0</v>
      </c>
      <c r="AB386" s="91">
        <v>0</v>
      </c>
      <c r="AC386" s="91">
        <v>0</v>
      </c>
      <c r="AD386" s="91">
        <v>0</v>
      </c>
      <c r="AE386" s="91">
        <v>0</v>
      </c>
      <c r="AF386" s="91">
        <v>0</v>
      </c>
      <c r="AG386" s="204"/>
    </row>
    <row r="387" spans="1:33" s="103" customFormat="1" ht="90" customHeight="1">
      <c r="A387" s="102">
        <f t="shared" si="55"/>
        <v>366</v>
      </c>
      <c r="B387" s="52"/>
      <c r="C387" s="51" t="s">
        <v>748</v>
      </c>
      <c r="D387" s="35" t="s">
        <v>96</v>
      </c>
      <c r="E387" s="35">
        <v>800010975</v>
      </c>
      <c r="F387" s="36" t="s">
        <v>67</v>
      </c>
      <c r="G387" s="35" t="s">
        <v>48</v>
      </c>
      <c r="H387" s="51" t="s">
        <v>57</v>
      </c>
      <c r="I387" s="34" t="s">
        <v>369</v>
      </c>
      <c r="J387" s="52" t="s">
        <v>123</v>
      </c>
      <c r="K387" s="52"/>
      <c r="L387" s="51" t="s">
        <v>61</v>
      </c>
      <c r="M387" s="51" t="s">
        <v>117</v>
      </c>
      <c r="N387" s="36" t="s">
        <v>50</v>
      </c>
      <c r="O387" s="51"/>
      <c r="P387" s="51" t="s">
        <v>806</v>
      </c>
      <c r="Q387" s="37"/>
      <c r="R387" s="37"/>
      <c r="S387" s="35" t="s">
        <v>96</v>
      </c>
      <c r="T387" s="38">
        <f t="shared" si="62"/>
        <v>1660500</v>
      </c>
      <c r="U387" s="39"/>
      <c r="V387" s="131"/>
      <c r="W387" s="38">
        <v>0</v>
      </c>
      <c r="X387" s="38">
        <v>0</v>
      </c>
      <c r="Y387" s="132">
        <v>0</v>
      </c>
      <c r="Z387" s="38">
        <f>+T387</f>
        <v>1660500</v>
      </c>
      <c r="AA387" s="91">
        <v>0</v>
      </c>
      <c r="AB387" s="91">
        <v>0</v>
      </c>
      <c r="AC387" s="91">
        <v>0</v>
      </c>
      <c r="AD387" s="91">
        <v>0</v>
      </c>
      <c r="AE387" s="91">
        <v>0</v>
      </c>
      <c r="AF387" s="91">
        <v>0</v>
      </c>
      <c r="AG387" s="204">
        <v>0</v>
      </c>
    </row>
    <row r="388" spans="1:33" s="103" customFormat="1" ht="90" customHeight="1">
      <c r="A388" s="102">
        <f t="shared" si="55"/>
        <v>367</v>
      </c>
      <c r="B388" s="52"/>
      <c r="C388" s="51" t="s">
        <v>814</v>
      </c>
      <c r="D388" s="35" t="s">
        <v>96</v>
      </c>
      <c r="E388" s="35">
        <v>800021287</v>
      </c>
      <c r="F388" s="36" t="s">
        <v>67</v>
      </c>
      <c r="G388" s="35" t="s">
        <v>48</v>
      </c>
      <c r="H388" s="51" t="s">
        <v>57</v>
      </c>
      <c r="I388" s="34" t="s">
        <v>379</v>
      </c>
      <c r="J388" s="52" t="s">
        <v>188</v>
      </c>
      <c r="K388" s="52" t="s">
        <v>60</v>
      </c>
      <c r="L388" s="51" t="s">
        <v>61</v>
      </c>
      <c r="M388" s="51" t="s">
        <v>117</v>
      </c>
      <c r="N388" s="36" t="s">
        <v>50</v>
      </c>
      <c r="O388" s="51"/>
      <c r="P388" s="51" t="s">
        <v>1226</v>
      </c>
      <c r="Q388" s="37"/>
      <c r="R388" s="37"/>
      <c r="S388" s="35" t="s">
        <v>52</v>
      </c>
      <c r="T388" s="38">
        <f>+(650000)*1.23</f>
        <v>799500</v>
      </c>
      <c r="U388" s="39"/>
      <c r="V388" s="131"/>
      <c r="W388" s="38">
        <v>0</v>
      </c>
      <c r="X388" s="38">
        <f>+T388</f>
        <v>799500</v>
      </c>
      <c r="Y388" s="38">
        <v>0</v>
      </c>
      <c r="Z388" s="38">
        <v>0</v>
      </c>
      <c r="AA388" s="91">
        <v>0</v>
      </c>
      <c r="AB388" s="91">
        <v>0</v>
      </c>
      <c r="AC388" s="91">
        <v>0</v>
      </c>
      <c r="AD388" s="91">
        <v>0</v>
      </c>
      <c r="AE388" s="91">
        <v>0</v>
      </c>
      <c r="AF388" s="91">
        <v>0</v>
      </c>
      <c r="AG388" s="204">
        <v>0</v>
      </c>
    </row>
    <row r="389" spans="1:33" s="103" customFormat="1" ht="90" customHeight="1">
      <c r="A389" s="102">
        <f t="shared" si="55"/>
        <v>368</v>
      </c>
      <c r="B389" s="52"/>
      <c r="C389" s="51" t="s">
        <v>816</v>
      </c>
      <c r="D389" s="35" t="s">
        <v>65</v>
      </c>
      <c r="E389" s="35">
        <v>800021139</v>
      </c>
      <c r="F389" s="36" t="s">
        <v>67</v>
      </c>
      <c r="G389" s="35" t="s">
        <v>48</v>
      </c>
      <c r="H389" s="51" t="s">
        <v>57</v>
      </c>
      <c r="I389" s="34" t="s">
        <v>320</v>
      </c>
      <c r="J389" s="52" t="s">
        <v>188</v>
      </c>
      <c r="K389" s="52" t="s">
        <v>60</v>
      </c>
      <c r="L389" s="51" t="s">
        <v>61</v>
      </c>
      <c r="M389" s="51" t="s">
        <v>117</v>
      </c>
      <c r="N389" s="36" t="s">
        <v>50</v>
      </c>
      <c r="O389" s="51"/>
      <c r="P389" s="51" t="s">
        <v>806</v>
      </c>
      <c r="Q389" s="37"/>
      <c r="R389" s="37"/>
      <c r="S389" s="35" t="s">
        <v>96</v>
      </c>
      <c r="T389" s="38">
        <f t="shared" si="62"/>
        <v>1660500</v>
      </c>
      <c r="U389" s="39"/>
      <c r="V389" s="131"/>
      <c r="W389" s="38">
        <v>0</v>
      </c>
      <c r="X389" s="38">
        <v>0</v>
      </c>
      <c r="Y389" s="38">
        <v>0</v>
      </c>
      <c r="Z389" s="38">
        <v>0</v>
      </c>
      <c r="AA389" s="91">
        <f>+T389</f>
        <v>1660500</v>
      </c>
      <c r="AB389" s="91"/>
      <c r="AC389" s="91"/>
      <c r="AD389" s="91"/>
      <c r="AE389" s="91"/>
      <c r="AF389" s="91"/>
      <c r="AG389" s="204"/>
    </row>
    <row r="390" spans="1:33" s="103" customFormat="1" ht="90" customHeight="1">
      <c r="A390" s="102">
        <f t="shared" si="55"/>
        <v>369</v>
      </c>
      <c r="B390" s="52"/>
      <c r="C390" s="51" t="s">
        <v>817</v>
      </c>
      <c r="D390" s="35" t="s">
        <v>65</v>
      </c>
      <c r="E390" s="35">
        <v>800034454</v>
      </c>
      <c r="F390" s="36" t="s">
        <v>67</v>
      </c>
      <c r="G390" s="35" t="s">
        <v>48</v>
      </c>
      <c r="H390" s="51" t="s">
        <v>57</v>
      </c>
      <c r="I390" s="34" t="s">
        <v>234</v>
      </c>
      <c r="J390" s="52" t="s">
        <v>59</v>
      </c>
      <c r="K390" s="52" t="s">
        <v>60</v>
      </c>
      <c r="L390" s="51" t="s">
        <v>61</v>
      </c>
      <c r="M390" s="51" t="s">
        <v>117</v>
      </c>
      <c r="N390" s="36" t="s">
        <v>50</v>
      </c>
      <c r="O390" s="51"/>
      <c r="P390" s="51" t="s">
        <v>806</v>
      </c>
      <c r="Q390" s="37"/>
      <c r="R390" s="37"/>
      <c r="S390" s="35" t="s">
        <v>96</v>
      </c>
      <c r="T390" s="38">
        <f t="shared" si="62"/>
        <v>1660500</v>
      </c>
      <c r="U390" s="39"/>
      <c r="V390" s="131"/>
      <c r="W390" s="38">
        <v>0</v>
      </c>
      <c r="X390" s="38">
        <v>0</v>
      </c>
      <c r="Y390" s="132">
        <f>+T390</f>
        <v>1660500</v>
      </c>
      <c r="Z390" s="38">
        <v>0</v>
      </c>
      <c r="AA390" s="91">
        <v>0</v>
      </c>
      <c r="AB390" s="91">
        <v>0</v>
      </c>
      <c r="AC390" s="91">
        <v>0</v>
      </c>
      <c r="AD390" s="91">
        <v>0</v>
      </c>
      <c r="AE390" s="91">
        <v>0</v>
      </c>
      <c r="AF390" s="91">
        <v>0</v>
      </c>
      <c r="AG390" s="204">
        <v>0</v>
      </c>
    </row>
    <row r="391" spans="1:33" s="103" customFormat="1" ht="90" customHeight="1">
      <c r="A391" s="102">
        <f t="shared" si="55"/>
        <v>370</v>
      </c>
      <c r="B391" s="52"/>
      <c r="C391" s="51" t="s">
        <v>818</v>
      </c>
      <c r="D391" s="35" t="s">
        <v>65</v>
      </c>
      <c r="E391" s="35">
        <v>800034782</v>
      </c>
      <c r="F391" s="36" t="s">
        <v>67</v>
      </c>
      <c r="G391" s="35" t="s">
        <v>48</v>
      </c>
      <c r="H391" s="51" t="s">
        <v>57</v>
      </c>
      <c r="I391" s="34" t="s">
        <v>141</v>
      </c>
      <c r="J391" s="52" t="s">
        <v>59</v>
      </c>
      <c r="K391" s="52" t="s">
        <v>60</v>
      </c>
      <c r="L391" s="51" t="s">
        <v>61</v>
      </c>
      <c r="M391" s="51" t="s">
        <v>117</v>
      </c>
      <c r="N391" s="36" t="s">
        <v>50</v>
      </c>
      <c r="O391" s="51"/>
      <c r="P391" s="51" t="s">
        <v>815</v>
      </c>
      <c r="Q391" s="37"/>
      <c r="R391" s="37"/>
      <c r="S391" s="35" t="s">
        <v>52</v>
      </c>
      <c r="T391" s="38">
        <f>+(650000)*1.23</f>
        <v>799500</v>
      </c>
      <c r="U391" s="39"/>
      <c r="V391" s="131"/>
      <c r="W391" s="38">
        <v>0</v>
      </c>
      <c r="X391" s="38">
        <f>+T391</f>
        <v>799500</v>
      </c>
      <c r="Y391" s="38">
        <v>0</v>
      </c>
      <c r="Z391" s="38">
        <v>0</v>
      </c>
      <c r="AA391" s="91">
        <v>0</v>
      </c>
      <c r="AB391" s="91">
        <v>0</v>
      </c>
      <c r="AC391" s="91">
        <v>0</v>
      </c>
      <c r="AD391" s="91">
        <v>0</v>
      </c>
      <c r="AE391" s="91">
        <v>0</v>
      </c>
      <c r="AF391" s="91">
        <v>0</v>
      </c>
      <c r="AG391" s="204">
        <v>0</v>
      </c>
    </row>
    <row r="392" spans="1:33" s="103" customFormat="1" ht="90" customHeight="1">
      <c r="A392" s="102">
        <f t="shared" si="55"/>
        <v>371</v>
      </c>
      <c r="B392" s="52"/>
      <c r="C392" s="51" t="s">
        <v>819</v>
      </c>
      <c r="D392" s="35" t="s">
        <v>65</v>
      </c>
      <c r="E392" s="35">
        <v>800006783</v>
      </c>
      <c r="F392" s="36" t="s">
        <v>67</v>
      </c>
      <c r="G392" s="35" t="s">
        <v>48</v>
      </c>
      <c r="H392" s="51" t="s">
        <v>57</v>
      </c>
      <c r="I392" s="34" t="s">
        <v>803</v>
      </c>
      <c r="J392" s="52" t="s">
        <v>116</v>
      </c>
      <c r="K392" s="52"/>
      <c r="L392" s="51" t="s">
        <v>61</v>
      </c>
      <c r="M392" s="51" t="s">
        <v>117</v>
      </c>
      <c r="N392" s="36" t="s">
        <v>50</v>
      </c>
      <c r="O392" s="51"/>
      <c r="P392" s="51" t="s">
        <v>820</v>
      </c>
      <c r="Q392" s="37"/>
      <c r="R392" s="37"/>
      <c r="S392" s="35" t="s">
        <v>96</v>
      </c>
      <c r="T392" s="38">
        <f>+(1350000+650000)*1.23</f>
        <v>2460000</v>
      </c>
      <c r="U392" s="39"/>
      <c r="V392" s="131"/>
      <c r="W392" s="38">
        <v>0</v>
      </c>
      <c r="X392" s="38">
        <v>0</v>
      </c>
      <c r="Y392" s="38">
        <v>0</v>
      </c>
      <c r="Z392" s="38">
        <v>0</v>
      </c>
      <c r="AA392" s="91">
        <v>0</v>
      </c>
      <c r="AB392" s="91">
        <f>+T392</f>
        <v>2460000</v>
      </c>
      <c r="AC392" s="91">
        <v>0</v>
      </c>
      <c r="AD392" s="91">
        <v>0</v>
      </c>
      <c r="AE392" s="91">
        <v>0</v>
      </c>
      <c r="AF392" s="91">
        <v>0</v>
      </c>
      <c r="AG392" s="204">
        <v>0</v>
      </c>
    </row>
    <row r="393" spans="1:33" s="103" customFormat="1" ht="90" customHeight="1">
      <c r="A393" s="102">
        <f t="shared" si="55"/>
        <v>372</v>
      </c>
      <c r="B393" s="52"/>
      <c r="C393" s="51" t="s">
        <v>821</v>
      </c>
      <c r="D393" s="35" t="s">
        <v>65</v>
      </c>
      <c r="E393" s="35">
        <v>800017194</v>
      </c>
      <c r="F393" s="36" t="s">
        <v>67</v>
      </c>
      <c r="G393" s="35" t="s">
        <v>48</v>
      </c>
      <c r="H393" s="51" t="s">
        <v>57</v>
      </c>
      <c r="I393" s="34" t="s">
        <v>234</v>
      </c>
      <c r="J393" s="52" t="s">
        <v>59</v>
      </c>
      <c r="K393" s="52" t="s">
        <v>60</v>
      </c>
      <c r="L393" s="51" t="s">
        <v>61</v>
      </c>
      <c r="M393" s="51" t="s">
        <v>117</v>
      </c>
      <c r="N393" s="36" t="s">
        <v>50</v>
      </c>
      <c r="O393" s="51"/>
      <c r="P393" s="51" t="s">
        <v>820</v>
      </c>
      <c r="Q393" s="37"/>
      <c r="R393" s="37"/>
      <c r="S393" s="35" t="s">
        <v>96</v>
      </c>
      <c r="T393" s="38">
        <f>+(1350000+650000)*1.23</f>
        <v>2460000</v>
      </c>
      <c r="U393" s="39"/>
      <c r="V393" s="131"/>
      <c r="W393" s="38">
        <v>0</v>
      </c>
      <c r="X393" s="38">
        <v>0</v>
      </c>
      <c r="Y393" s="132">
        <f>+T393</f>
        <v>2460000</v>
      </c>
      <c r="Z393" s="38">
        <v>0</v>
      </c>
      <c r="AA393" s="91">
        <v>0</v>
      </c>
      <c r="AB393" s="91">
        <v>0</v>
      </c>
      <c r="AC393" s="91">
        <v>0</v>
      </c>
      <c r="AD393" s="91">
        <v>0</v>
      </c>
      <c r="AE393" s="91">
        <v>0</v>
      </c>
      <c r="AF393" s="91">
        <v>0</v>
      </c>
      <c r="AG393" s="204">
        <v>0</v>
      </c>
    </row>
    <row r="394" spans="1:33" s="103" customFormat="1" ht="90" customHeight="1">
      <c r="A394" s="102">
        <f t="shared" si="55"/>
        <v>373</v>
      </c>
      <c r="B394" s="52"/>
      <c r="C394" s="51" t="s">
        <v>822</v>
      </c>
      <c r="D394" s="35" t="s">
        <v>121</v>
      </c>
      <c r="E394" s="35">
        <v>800000737</v>
      </c>
      <c r="F394" s="36" t="s">
        <v>67</v>
      </c>
      <c r="G394" s="35" t="s">
        <v>48</v>
      </c>
      <c r="H394" s="51" t="s">
        <v>57</v>
      </c>
      <c r="I394" s="34" t="s">
        <v>122</v>
      </c>
      <c r="J394" s="52" t="s">
        <v>123</v>
      </c>
      <c r="K394" s="52"/>
      <c r="L394" s="51" t="s">
        <v>262</v>
      </c>
      <c r="M394" s="51" t="s">
        <v>8</v>
      </c>
      <c r="N394" s="36" t="s">
        <v>3</v>
      </c>
      <c r="O394" s="51"/>
      <c r="P394" s="51" t="s">
        <v>823</v>
      </c>
      <c r="Q394" s="37">
        <v>41694</v>
      </c>
      <c r="R394" s="37">
        <v>41912</v>
      </c>
      <c r="S394" s="35" t="s">
        <v>52</v>
      </c>
      <c r="T394" s="38">
        <f>(892320*8+150000+350000)*1.05*1.1*1.07*1.235</f>
        <v>11658541.254360003</v>
      </c>
      <c r="U394" s="39"/>
      <c r="V394" s="131"/>
      <c r="W394" s="38">
        <v>345261</v>
      </c>
      <c r="X394" s="38">
        <f>+T394*0.235*0.3</f>
        <v>821927.15843238018</v>
      </c>
      <c r="Y394" s="132">
        <f>T394-X394</f>
        <v>10836614.095927624</v>
      </c>
      <c r="Z394" s="38">
        <v>0</v>
      </c>
      <c r="AA394" s="91">
        <f>+T394*0.01</f>
        <v>116585.41254360003</v>
      </c>
      <c r="AB394" s="91">
        <v>0</v>
      </c>
      <c r="AC394" s="91">
        <f>+AA394*1.15</f>
        <v>134073.22442514004</v>
      </c>
      <c r="AD394" s="91">
        <v>0</v>
      </c>
      <c r="AE394" s="91">
        <f>+AC394*1.15</f>
        <v>154184.20808891102</v>
      </c>
      <c r="AF394" s="91">
        <v>0</v>
      </c>
      <c r="AG394" s="204">
        <f>+AE394*1.15</f>
        <v>177311.83930224765</v>
      </c>
    </row>
    <row r="395" spans="1:33" s="103" customFormat="1" ht="90" customHeight="1">
      <c r="A395" s="102">
        <f t="shared" si="55"/>
        <v>374</v>
      </c>
      <c r="B395" s="52"/>
      <c r="C395" s="51" t="s">
        <v>824</v>
      </c>
      <c r="D395" s="35" t="s">
        <v>65</v>
      </c>
      <c r="E395" s="35">
        <v>800023820</v>
      </c>
      <c r="F395" s="36" t="s">
        <v>47</v>
      </c>
      <c r="G395" s="35" t="s">
        <v>48</v>
      </c>
      <c r="H395" s="51" t="s">
        <v>68</v>
      </c>
      <c r="I395" s="34" t="s">
        <v>253</v>
      </c>
      <c r="J395" s="52" t="s">
        <v>84</v>
      </c>
      <c r="K395" s="52"/>
      <c r="L395" s="51" t="s">
        <v>262</v>
      </c>
      <c r="M395" s="51" t="s">
        <v>8</v>
      </c>
      <c r="N395" s="36" t="s">
        <v>50</v>
      </c>
      <c r="O395" s="51"/>
      <c r="P395" s="51" t="s">
        <v>825</v>
      </c>
      <c r="Q395" s="37">
        <v>41820</v>
      </c>
      <c r="R395" s="37">
        <v>42155</v>
      </c>
      <c r="S395" s="35" t="s">
        <v>52</v>
      </c>
      <c r="T395" s="38">
        <v>10749220</v>
      </c>
      <c r="U395" s="39"/>
      <c r="V395" s="131"/>
      <c r="W395" s="38">
        <f>+T395*0.89</f>
        <v>9566805.8000000007</v>
      </c>
      <c r="X395" s="38">
        <f>+T395-W395</f>
        <v>1182414.1999999993</v>
      </c>
      <c r="Y395" s="38">
        <v>0</v>
      </c>
      <c r="Z395" s="38">
        <f>+T395*0.01</f>
        <v>107492.2</v>
      </c>
      <c r="AA395" s="91">
        <v>0</v>
      </c>
      <c r="AB395" s="91">
        <f>+Z395*1.15</f>
        <v>123616.02999999998</v>
      </c>
      <c r="AC395" s="91">
        <v>0</v>
      </c>
      <c r="AD395" s="91">
        <f>+AB395*1.15</f>
        <v>142158.43449999997</v>
      </c>
      <c r="AE395" s="91">
        <v>0</v>
      </c>
      <c r="AF395" s="91">
        <f>+AD395*1.15</f>
        <v>163482.19967499995</v>
      </c>
      <c r="AG395" s="204">
        <v>0</v>
      </c>
    </row>
    <row r="396" spans="1:33" s="103" customFormat="1" ht="90" customHeight="1">
      <c r="A396" s="102">
        <f t="shared" si="55"/>
        <v>375</v>
      </c>
      <c r="B396" s="52"/>
      <c r="C396" s="51" t="s">
        <v>826</v>
      </c>
      <c r="D396" s="35" t="s">
        <v>65</v>
      </c>
      <c r="E396" s="35">
        <v>800034925</v>
      </c>
      <c r="F396" s="36" t="s">
        <v>47</v>
      </c>
      <c r="G396" s="35" t="s">
        <v>48</v>
      </c>
      <c r="H396" s="51" t="s">
        <v>74</v>
      </c>
      <c r="I396" s="34" t="s">
        <v>309</v>
      </c>
      <c r="J396" s="52" t="s">
        <v>75</v>
      </c>
      <c r="K396" s="52" t="s">
        <v>60</v>
      </c>
      <c r="L396" s="51" t="s">
        <v>262</v>
      </c>
      <c r="M396" s="51" t="s">
        <v>8</v>
      </c>
      <c r="N396" s="36" t="s">
        <v>50</v>
      </c>
      <c r="O396" s="51"/>
      <c r="P396" s="51" t="s">
        <v>827</v>
      </c>
      <c r="Q396" s="37">
        <v>41820</v>
      </c>
      <c r="R396" s="37">
        <v>42155</v>
      </c>
      <c r="S396" s="35" t="s">
        <v>52</v>
      </c>
      <c r="T396" s="38">
        <v>7764220</v>
      </c>
      <c r="U396" s="39"/>
      <c r="V396" s="131"/>
      <c r="W396" s="38">
        <f>+T396*0.89</f>
        <v>6910155.7999999998</v>
      </c>
      <c r="X396" s="38">
        <f>+T396-W396</f>
        <v>854064.20000000019</v>
      </c>
      <c r="Y396" s="38">
        <v>0</v>
      </c>
      <c r="Z396" s="38">
        <f>+T396*0.01</f>
        <v>77642.2</v>
      </c>
      <c r="AA396" s="91">
        <v>0</v>
      </c>
      <c r="AB396" s="91">
        <f>+Z396*1.15</f>
        <v>89288.529999999984</v>
      </c>
      <c r="AC396" s="91">
        <v>0</v>
      </c>
      <c r="AD396" s="91">
        <f>+AB396*1.15</f>
        <v>102681.80949999997</v>
      </c>
      <c r="AE396" s="91">
        <v>0</v>
      </c>
      <c r="AF396" s="91">
        <f>+AD396*1.15</f>
        <v>118084.08092499996</v>
      </c>
      <c r="AG396" s="204">
        <v>0</v>
      </c>
    </row>
    <row r="397" spans="1:33" s="103" customFormat="1" ht="90" customHeight="1">
      <c r="A397" s="102">
        <f t="shared" si="55"/>
        <v>376</v>
      </c>
      <c r="B397" s="52"/>
      <c r="C397" s="51" t="s">
        <v>828</v>
      </c>
      <c r="D397" s="35" t="s">
        <v>65</v>
      </c>
      <c r="E397" s="35">
        <v>800010892</v>
      </c>
      <c r="F397" s="36" t="s">
        <v>47</v>
      </c>
      <c r="G397" s="35" t="s">
        <v>48</v>
      </c>
      <c r="H397" s="51" t="s">
        <v>68</v>
      </c>
      <c r="I397" s="34" t="s">
        <v>410</v>
      </c>
      <c r="J397" s="52" t="s">
        <v>70</v>
      </c>
      <c r="K397" s="52" t="s">
        <v>60</v>
      </c>
      <c r="L397" s="51" t="s">
        <v>262</v>
      </c>
      <c r="M397" s="51" t="s">
        <v>8</v>
      </c>
      <c r="N397" s="36" t="s">
        <v>50</v>
      </c>
      <c r="O397" s="51"/>
      <c r="P397" s="51" t="s">
        <v>1243</v>
      </c>
      <c r="Q397" s="37">
        <v>41694</v>
      </c>
      <c r="R397" s="37">
        <v>41912</v>
      </c>
      <c r="S397" s="35" t="s">
        <v>52</v>
      </c>
      <c r="T397" s="38">
        <v>1352066</v>
      </c>
      <c r="U397" s="39"/>
      <c r="V397" s="131"/>
      <c r="W397" s="38">
        <f t="shared" ref="W397" si="63">+T397</f>
        <v>1352066</v>
      </c>
      <c r="X397" s="38">
        <f>+W397*0.15</f>
        <v>202809.9</v>
      </c>
      <c r="Y397" s="38">
        <v>0</v>
      </c>
      <c r="Z397" s="38">
        <v>0</v>
      </c>
      <c r="AA397" s="91">
        <v>0</v>
      </c>
      <c r="AB397" s="91">
        <v>0</v>
      </c>
      <c r="AC397" s="91">
        <v>0</v>
      </c>
      <c r="AD397" s="91">
        <v>0</v>
      </c>
      <c r="AE397" s="91">
        <v>0</v>
      </c>
      <c r="AF397" s="91">
        <v>0</v>
      </c>
      <c r="AG397" s="204">
        <v>0</v>
      </c>
    </row>
    <row r="398" spans="1:33" s="103" customFormat="1" ht="90" customHeight="1">
      <c r="A398" s="102">
        <f t="shared" si="55"/>
        <v>377</v>
      </c>
      <c r="B398" s="52"/>
      <c r="C398" s="51" t="s">
        <v>829</v>
      </c>
      <c r="D398" s="35" t="s">
        <v>73</v>
      </c>
      <c r="E398" s="35">
        <v>800016758</v>
      </c>
      <c r="F398" s="36" t="s">
        <v>67</v>
      </c>
      <c r="G398" s="35" t="s">
        <v>48</v>
      </c>
      <c r="H398" s="51" t="s">
        <v>57</v>
      </c>
      <c r="I398" s="34" t="s">
        <v>743</v>
      </c>
      <c r="J398" s="52" t="s">
        <v>188</v>
      </c>
      <c r="K398" s="52" t="s">
        <v>60</v>
      </c>
      <c r="L398" s="51" t="s">
        <v>262</v>
      </c>
      <c r="M398" s="51" t="s">
        <v>8</v>
      </c>
      <c r="N398" s="36" t="s">
        <v>50</v>
      </c>
      <c r="O398" s="51"/>
      <c r="P398" s="51" t="s">
        <v>830</v>
      </c>
      <c r="Q398" s="37">
        <v>41750</v>
      </c>
      <c r="R398" s="37">
        <v>41943</v>
      </c>
      <c r="S398" s="35" t="s">
        <v>52</v>
      </c>
      <c r="T398" s="38">
        <f>(17*1600+52000*9.5+124500*2+52000*8+20000)*1.14*1.1</f>
        <v>1512574.7999999998</v>
      </c>
      <c r="U398" s="39"/>
      <c r="V398" s="131"/>
      <c r="W398" s="38">
        <f>+T398*0.94</f>
        <v>1421820.3119999997</v>
      </c>
      <c r="X398" s="38">
        <f>+T398-W398</f>
        <v>90754.488000000129</v>
      </c>
      <c r="Y398" s="38">
        <v>0</v>
      </c>
      <c r="Z398" s="38">
        <v>0</v>
      </c>
      <c r="AA398" s="91">
        <v>0</v>
      </c>
      <c r="AB398" s="91">
        <v>0</v>
      </c>
      <c r="AC398" s="91">
        <v>0</v>
      </c>
      <c r="AD398" s="91">
        <v>0</v>
      </c>
      <c r="AE398" s="91">
        <v>0</v>
      </c>
      <c r="AF398" s="91">
        <v>0</v>
      </c>
      <c r="AG398" s="204">
        <v>0</v>
      </c>
    </row>
    <row r="399" spans="1:33" s="103" customFormat="1" ht="90" customHeight="1">
      <c r="A399" s="102">
        <f t="shared" si="55"/>
        <v>378</v>
      </c>
      <c r="B399" s="52"/>
      <c r="C399" s="51" t="s">
        <v>831</v>
      </c>
      <c r="D399" s="35" t="s">
        <v>73</v>
      </c>
      <c r="E399" s="35">
        <v>800035127</v>
      </c>
      <c r="F399" s="36" t="s">
        <v>832</v>
      </c>
      <c r="G399" s="35" t="s">
        <v>48</v>
      </c>
      <c r="H399" s="51" t="s">
        <v>74</v>
      </c>
      <c r="I399" s="34" t="s">
        <v>406</v>
      </c>
      <c r="J399" s="52" t="s">
        <v>75</v>
      </c>
      <c r="K399" s="52" t="s">
        <v>60</v>
      </c>
      <c r="L399" s="51" t="s">
        <v>61</v>
      </c>
      <c r="M399" s="51" t="s">
        <v>1251</v>
      </c>
      <c r="N399" s="36" t="s">
        <v>50</v>
      </c>
      <c r="O399" s="51"/>
      <c r="P399" s="51" t="s">
        <v>833</v>
      </c>
      <c r="Q399" s="37">
        <v>42156</v>
      </c>
      <c r="R399" s="37">
        <v>42369</v>
      </c>
      <c r="S399" s="35" t="s">
        <v>52</v>
      </c>
      <c r="T399" s="38">
        <f>20*(1022001/14)*1.125*1.07</f>
        <v>1757476.7196428573</v>
      </c>
      <c r="U399" s="39"/>
      <c r="V399" s="131"/>
      <c r="W399" s="38">
        <v>0</v>
      </c>
      <c r="X399" s="38">
        <f>+T399</f>
        <v>1757476.7196428573</v>
      </c>
      <c r="Y399" s="38">
        <v>0</v>
      </c>
      <c r="Z399" s="38">
        <v>0</v>
      </c>
      <c r="AA399" s="91">
        <v>0</v>
      </c>
      <c r="AB399" s="91">
        <v>0</v>
      </c>
      <c r="AC399" s="91">
        <v>0</v>
      </c>
      <c r="AD399" s="91">
        <v>0</v>
      </c>
      <c r="AE399" s="91">
        <v>0</v>
      </c>
      <c r="AF399" s="91">
        <v>0</v>
      </c>
      <c r="AG399" s="204">
        <v>0</v>
      </c>
    </row>
    <row r="400" spans="1:33" s="103" customFormat="1" ht="90" customHeight="1">
      <c r="A400" s="102">
        <f t="shared" si="55"/>
        <v>379</v>
      </c>
      <c r="B400" s="52"/>
      <c r="C400" s="51" t="s">
        <v>834</v>
      </c>
      <c r="D400" s="35" t="s">
        <v>65</v>
      </c>
      <c r="E400" s="35">
        <v>800007898</v>
      </c>
      <c r="F400" s="36" t="s">
        <v>67</v>
      </c>
      <c r="G400" s="35" t="s">
        <v>48</v>
      </c>
      <c r="H400" s="51" t="s">
        <v>57</v>
      </c>
      <c r="I400" s="34" t="s">
        <v>379</v>
      </c>
      <c r="J400" s="52" t="s">
        <v>188</v>
      </c>
      <c r="K400" s="52" t="s">
        <v>60</v>
      </c>
      <c r="L400" s="51" t="s">
        <v>61</v>
      </c>
      <c r="M400" s="51" t="s">
        <v>1251</v>
      </c>
      <c r="N400" s="36" t="s">
        <v>50</v>
      </c>
      <c r="O400" s="51"/>
      <c r="P400" s="51" t="s">
        <v>835</v>
      </c>
      <c r="Q400" s="37">
        <v>41730</v>
      </c>
      <c r="R400" s="37">
        <v>41912</v>
      </c>
      <c r="S400" s="35" t="s">
        <v>52</v>
      </c>
      <c r="T400" s="38">
        <f>14*(1022001/14)*1.125*1.07</f>
        <v>1230233.7037500003</v>
      </c>
      <c r="U400" s="39">
        <v>393600</v>
      </c>
      <c r="V400" s="131">
        <v>0</v>
      </c>
      <c r="W400" s="38">
        <v>0</v>
      </c>
      <c r="X400" s="38">
        <f>+T400</f>
        <v>1230233.7037500003</v>
      </c>
      <c r="Y400" s="38">
        <v>0</v>
      </c>
      <c r="Z400" s="38">
        <v>0</v>
      </c>
      <c r="AA400" s="91">
        <v>0</v>
      </c>
      <c r="AB400" s="91">
        <v>0</v>
      </c>
      <c r="AC400" s="91">
        <v>0</v>
      </c>
      <c r="AD400" s="91">
        <v>0</v>
      </c>
      <c r="AE400" s="91">
        <v>0</v>
      </c>
      <c r="AF400" s="91">
        <v>0</v>
      </c>
      <c r="AG400" s="204">
        <v>0</v>
      </c>
    </row>
    <row r="401" spans="1:33" s="103" customFormat="1" ht="90" customHeight="1">
      <c r="A401" s="102">
        <f t="shared" si="55"/>
        <v>380</v>
      </c>
      <c r="B401" s="52"/>
      <c r="C401" s="51" t="s">
        <v>920</v>
      </c>
      <c r="D401" s="35" t="s">
        <v>65</v>
      </c>
      <c r="E401" s="35">
        <v>800034876</v>
      </c>
      <c r="F401" s="36"/>
      <c r="G401" s="35" t="s">
        <v>48</v>
      </c>
      <c r="H401" s="51" t="s">
        <v>74</v>
      </c>
      <c r="I401" s="34" t="s">
        <v>924</v>
      </c>
      <c r="J401" s="52" t="s">
        <v>75</v>
      </c>
      <c r="K401" s="52" t="s">
        <v>60</v>
      </c>
      <c r="L401" s="51" t="s">
        <v>61</v>
      </c>
      <c r="M401" s="51" t="s">
        <v>1251</v>
      </c>
      <c r="N401" s="36" t="s">
        <v>50</v>
      </c>
      <c r="O401" s="51"/>
      <c r="P401" s="51" t="s">
        <v>927</v>
      </c>
      <c r="Q401" s="37"/>
      <c r="R401" s="37"/>
      <c r="S401" s="35" t="s">
        <v>52</v>
      </c>
      <c r="T401" s="38">
        <f>18*(1022001/14)*1.125*1.07</f>
        <v>1581729.0476785717</v>
      </c>
      <c r="U401" s="39"/>
      <c r="V401" s="131"/>
      <c r="W401" s="38">
        <v>0</v>
      </c>
      <c r="X401" s="38">
        <f t="shared" ref="X401" si="64">+T401</f>
        <v>1581729.0476785717</v>
      </c>
      <c r="Y401" s="38">
        <v>0</v>
      </c>
      <c r="Z401" s="38">
        <v>0</v>
      </c>
      <c r="AA401" s="91">
        <v>0</v>
      </c>
      <c r="AB401" s="91">
        <v>0</v>
      </c>
      <c r="AC401" s="91">
        <v>0</v>
      </c>
      <c r="AD401" s="91">
        <v>0</v>
      </c>
      <c r="AE401" s="91">
        <v>0</v>
      </c>
      <c r="AF401" s="91">
        <v>0</v>
      </c>
      <c r="AG401" s="204">
        <v>0</v>
      </c>
    </row>
    <row r="402" spans="1:33" s="103" customFormat="1" ht="90" customHeight="1">
      <c r="A402" s="102">
        <f t="shared" si="55"/>
        <v>381</v>
      </c>
      <c r="B402" s="52"/>
      <c r="C402" s="51" t="s">
        <v>921</v>
      </c>
      <c r="D402" s="35" t="s">
        <v>73</v>
      </c>
      <c r="E402" s="35">
        <v>800034875</v>
      </c>
      <c r="F402" s="36"/>
      <c r="G402" s="35" t="s">
        <v>48</v>
      </c>
      <c r="H402" s="51" t="s">
        <v>74</v>
      </c>
      <c r="I402" s="34" t="s">
        <v>924</v>
      </c>
      <c r="J402" s="52" t="s">
        <v>75</v>
      </c>
      <c r="K402" s="52" t="s">
        <v>60</v>
      </c>
      <c r="L402" s="51" t="s">
        <v>61</v>
      </c>
      <c r="M402" s="51" t="s">
        <v>1251</v>
      </c>
      <c r="N402" s="36" t="s">
        <v>50</v>
      </c>
      <c r="O402" s="51"/>
      <c r="P402" s="51" t="s">
        <v>928</v>
      </c>
      <c r="Q402" s="37"/>
      <c r="R402" s="37"/>
      <c r="S402" s="35" t="s">
        <v>52</v>
      </c>
      <c r="T402" s="38">
        <f>12*(1022001/14)*1.125*1.07</f>
        <v>1054486.0317857144</v>
      </c>
      <c r="U402" s="39"/>
      <c r="V402" s="131"/>
      <c r="W402" s="38">
        <v>0</v>
      </c>
      <c r="X402" s="38">
        <f>+T402</f>
        <v>1054486.0317857144</v>
      </c>
      <c r="Y402" s="38">
        <v>0</v>
      </c>
      <c r="Z402" s="38">
        <v>0</v>
      </c>
      <c r="AA402" s="91">
        <v>0</v>
      </c>
      <c r="AB402" s="91">
        <v>0</v>
      </c>
      <c r="AC402" s="91">
        <v>0</v>
      </c>
      <c r="AD402" s="91">
        <v>0</v>
      </c>
      <c r="AE402" s="91">
        <v>0</v>
      </c>
      <c r="AF402" s="91">
        <v>0</v>
      </c>
      <c r="AG402" s="204">
        <v>0</v>
      </c>
    </row>
    <row r="403" spans="1:33" s="103" customFormat="1" ht="90" customHeight="1">
      <c r="A403" s="102">
        <f t="shared" si="55"/>
        <v>382</v>
      </c>
      <c r="B403" s="52"/>
      <c r="C403" s="51" t="s">
        <v>919</v>
      </c>
      <c r="D403" s="35" t="s">
        <v>65</v>
      </c>
      <c r="E403" s="35">
        <v>800035115</v>
      </c>
      <c r="F403" s="36"/>
      <c r="G403" s="35" t="s">
        <v>48</v>
      </c>
      <c r="H403" s="51" t="s">
        <v>74</v>
      </c>
      <c r="I403" s="34" t="s">
        <v>925</v>
      </c>
      <c r="J403" s="52" t="s">
        <v>75</v>
      </c>
      <c r="K403" s="52" t="s">
        <v>60</v>
      </c>
      <c r="L403" s="51" t="s">
        <v>61</v>
      </c>
      <c r="M403" s="51" t="s">
        <v>1251</v>
      </c>
      <c r="N403" s="36" t="s">
        <v>50</v>
      </c>
      <c r="O403" s="51"/>
      <c r="P403" s="51" t="s">
        <v>928</v>
      </c>
      <c r="Q403" s="37"/>
      <c r="R403" s="37"/>
      <c r="S403" s="35" t="s">
        <v>52</v>
      </c>
      <c r="T403" s="38">
        <f>12*(1022001/14)*1.125*1.07</f>
        <v>1054486.0317857144</v>
      </c>
      <c r="U403" s="39"/>
      <c r="V403" s="131"/>
      <c r="W403" s="38">
        <v>0</v>
      </c>
      <c r="X403" s="38">
        <f>+T403</f>
        <v>1054486.0317857144</v>
      </c>
      <c r="Y403" s="38">
        <v>0</v>
      </c>
      <c r="Z403" s="38">
        <v>0</v>
      </c>
      <c r="AA403" s="91">
        <v>0</v>
      </c>
      <c r="AB403" s="91">
        <v>0</v>
      </c>
      <c r="AC403" s="91">
        <v>0</v>
      </c>
      <c r="AD403" s="91">
        <v>0</v>
      </c>
      <c r="AE403" s="91">
        <v>0</v>
      </c>
      <c r="AF403" s="91">
        <v>0</v>
      </c>
      <c r="AG403" s="204">
        <v>0</v>
      </c>
    </row>
    <row r="404" spans="1:33" s="103" customFormat="1" ht="90" customHeight="1">
      <c r="A404" s="102">
        <f t="shared" si="55"/>
        <v>383</v>
      </c>
      <c r="B404" s="52"/>
      <c r="C404" s="51" t="s">
        <v>922</v>
      </c>
      <c r="D404" s="35" t="s">
        <v>65</v>
      </c>
      <c r="E404" s="35">
        <v>800035043</v>
      </c>
      <c r="F404" s="36"/>
      <c r="G404" s="35" t="s">
        <v>48</v>
      </c>
      <c r="H404" s="51" t="s">
        <v>74</v>
      </c>
      <c r="I404" s="34" t="s">
        <v>228</v>
      </c>
      <c r="J404" s="52" t="s">
        <v>75</v>
      </c>
      <c r="K404" s="52" t="s">
        <v>60</v>
      </c>
      <c r="L404" s="51" t="s">
        <v>61</v>
      </c>
      <c r="M404" s="51" t="s">
        <v>1251</v>
      </c>
      <c r="N404" s="36" t="s">
        <v>50</v>
      </c>
      <c r="O404" s="51"/>
      <c r="P404" s="51" t="s">
        <v>929</v>
      </c>
      <c r="Q404" s="37"/>
      <c r="R404" s="37"/>
      <c r="S404" s="35" t="s">
        <v>52</v>
      </c>
      <c r="T404" s="38">
        <f>8*(1022001/14)*1.125*1.07</f>
        <v>702990.687857143</v>
      </c>
      <c r="U404" s="39"/>
      <c r="V404" s="131"/>
      <c r="W404" s="38">
        <v>0</v>
      </c>
      <c r="X404" s="38">
        <f t="shared" ref="X404:X405" si="65">+T404</f>
        <v>702990.687857143</v>
      </c>
      <c r="Y404" s="38">
        <v>0</v>
      </c>
      <c r="Z404" s="38">
        <v>0</v>
      </c>
      <c r="AA404" s="91">
        <v>0</v>
      </c>
      <c r="AB404" s="91">
        <v>0</v>
      </c>
      <c r="AC404" s="91">
        <v>0</v>
      </c>
      <c r="AD404" s="91">
        <v>0</v>
      </c>
      <c r="AE404" s="91">
        <v>0</v>
      </c>
      <c r="AF404" s="91">
        <v>0</v>
      </c>
      <c r="AG404" s="204">
        <v>0</v>
      </c>
    </row>
    <row r="405" spans="1:33" s="103" customFormat="1" ht="90" customHeight="1">
      <c r="A405" s="102">
        <f t="shared" si="55"/>
        <v>384</v>
      </c>
      <c r="B405" s="52"/>
      <c r="C405" s="51" t="s">
        <v>923</v>
      </c>
      <c r="D405" s="35" t="s">
        <v>65</v>
      </c>
      <c r="E405" s="35">
        <v>800035012</v>
      </c>
      <c r="F405" s="36"/>
      <c r="G405" s="35" t="s">
        <v>48</v>
      </c>
      <c r="H405" s="51" t="s">
        <v>74</v>
      </c>
      <c r="I405" s="34" t="s">
        <v>926</v>
      </c>
      <c r="J405" s="52" t="s">
        <v>75</v>
      </c>
      <c r="K405" s="52" t="s">
        <v>60</v>
      </c>
      <c r="L405" s="51" t="s">
        <v>61</v>
      </c>
      <c r="M405" s="51" t="s">
        <v>1251</v>
      </c>
      <c r="N405" s="36" t="s">
        <v>50</v>
      </c>
      <c r="O405" s="51"/>
      <c r="P405" s="51" t="s">
        <v>929</v>
      </c>
      <c r="Q405" s="37"/>
      <c r="R405" s="37"/>
      <c r="S405" s="35" t="s">
        <v>52</v>
      </c>
      <c r="T405" s="38">
        <f>8*(1022001/14)*1.125*1.07</f>
        <v>702990.687857143</v>
      </c>
      <c r="U405" s="39"/>
      <c r="V405" s="131"/>
      <c r="W405" s="38">
        <v>0</v>
      </c>
      <c r="X405" s="38">
        <f t="shared" si="65"/>
        <v>702990.687857143</v>
      </c>
      <c r="Y405" s="38">
        <v>0</v>
      </c>
      <c r="Z405" s="38">
        <v>0</v>
      </c>
      <c r="AA405" s="91">
        <v>0</v>
      </c>
      <c r="AB405" s="91">
        <v>0</v>
      </c>
      <c r="AC405" s="91">
        <v>0</v>
      </c>
      <c r="AD405" s="91">
        <v>0</v>
      </c>
      <c r="AE405" s="91">
        <v>0</v>
      </c>
      <c r="AF405" s="91">
        <v>0</v>
      </c>
      <c r="AG405" s="204">
        <v>0</v>
      </c>
    </row>
    <row r="406" spans="1:33" s="103" customFormat="1" ht="90" customHeight="1">
      <c r="A406" s="102">
        <f t="shared" si="55"/>
        <v>385</v>
      </c>
      <c r="B406" s="52"/>
      <c r="C406" s="51" t="s">
        <v>836</v>
      </c>
      <c r="D406" s="35" t="s">
        <v>65</v>
      </c>
      <c r="E406" s="35">
        <v>80035190</v>
      </c>
      <c r="F406" s="36" t="s">
        <v>67</v>
      </c>
      <c r="G406" s="35" t="s">
        <v>48</v>
      </c>
      <c r="H406" s="51" t="s">
        <v>74</v>
      </c>
      <c r="I406" s="34" t="s">
        <v>467</v>
      </c>
      <c r="J406" s="52" t="s">
        <v>75</v>
      </c>
      <c r="K406" s="52" t="s">
        <v>60</v>
      </c>
      <c r="L406" s="51" t="s">
        <v>61</v>
      </c>
      <c r="M406" s="51" t="s">
        <v>1251</v>
      </c>
      <c r="N406" s="36" t="s">
        <v>50</v>
      </c>
      <c r="O406" s="51"/>
      <c r="P406" s="51" t="s">
        <v>837</v>
      </c>
      <c r="Q406" s="37">
        <v>41730</v>
      </c>
      <c r="R406" s="37">
        <v>41912</v>
      </c>
      <c r="S406" s="35" t="s">
        <v>87</v>
      </c>
      <c r="T406" s="38">
        <f>8*(1022001/14)*1.125*1.07</f>
        <v>702990.687857143</v>
      </c>
      <c r="U406" s="39">
        <v>688800</v>
      </c>
      <c r="V406" s="131">
        <v>0</v>
      </c>
      <c r="W406" s="38">
        <f t="shared" ref="W406:W407" si="66">+T406</f>
        <v>702990.687857143</v>
      </c>
      <c r="X406" s="38">
        <v>0</v>
      </c>
      <c r="Y406" s="38">
        <v>0</v>
      </c>
      <c r="Z406" s="38">
        <v>0</v>
      </c>
      <c r="AA406" s="91">
        <v>0</v>
      </c>
      <c r="AB406" s="91">
        <v>0</v>
      </c>
      <c r="AC406" s="91">
        <v>0</v>
      </c>
      <c r="AD406" s="91">
        <v>0</v>
      </c>
      <c r="AE406" s="91">
        <v>0</v>
      </c>
      <c r="AF406" s="91">
        <v>0</v>
      </c>
      <c r="AG406" s="204">
        <v>0</v>
      </c>
    </row>
    <row r="407" spans="1:33" s="103" customFormat="1" ht="90" customHeight="1">
      <c r="A407" s="102">
        <f t="shared" si="55"/>
        <v>386</v>
      </c>
      <c r="B407" s="52"/>
      <c r="C407" s="51" t="s">
        <v>838</v>
      </c>
      <c r="D407" s="35" t="s">
        <v>73</v>
      </c>
      <c r="E407" s="35">
        <v>800035191</v>
      </c>
      <c r="F407" s="36" t="s">
        <v>67</v>
      </c>
      <c r="G407" s="35" t="s">
        <v>48</v>
      </c>
      <c r="H407" s="51" t="s">
        <v>74</v>
      </c>
      <c r="I407" s="34" t="s">
        <v>467</v>
      </c>
      <c r="J407" s="52" t="s">
        <v>75</v>
      </c>
      <c r="K407" s="52" t="s">
        <v>60</v>
      </c>
      <c r="L407" s="51" t="s">
        <v>61</v>
      </c>
      <c r="M407" s="51" t="s">
        <v>1251</v>
      </c>
      <c r="N407" s="36" t="s">
        <v>50</v>
      </c>
      <c r="O407" s="51"/>
      <c r="P407" s="51" t="s">
        <v>839</v>
      </c>
      <c r="Q407" s="37">
        <v>41730</v>
      </c>
      <c r="R407" s="37">
        <v>41912</v>
      </c>
      <c r="S407" s="35" t="s">
        <v>87</v>
      </c>
      <c r="T407" s="38">
        <f>10*(1022001/14)*1.125*1.07</f>
        <v>878738.35982142866</v>
      </c>
      <c r="U407" s="39">
        <v>688800</v>
      </c>
      <c r="V407" s="131">
        <v>0</v>
      </c>
      <c r="W407" s="38">
        <f t="shared" si="66"/>
        <v>878738.35982142866</v>
      </c>
      <c r="X407" s="38">
        <v>0</v>
      </c>
      <c r="Y407" s="38">
        <v>0</v>
      </c>
      <c r="Z407" s="38">
        <v>0</v>
      </c>
      <c r="AA407" s="91">
        <v>0</v>
      </c>
      <c r="AB407" s="91">
        <v>0</v>
      </c>
      <c r="AC407" s="91">
        <v>0</v>
      </c>
      <c r="AD407" s="91">
        <v>0</v>
      </c>
      <c r="AE407" s="91">
        <v>0</v>
      </c>
      <c r="AF407" s="91">
        <v>0</v>
      </c>
      <c r="AG407" s="204">
        <v>0</v>
      </c>
    </row>
    <row r="408" spans="1:33" s="103" customFormat="1" ht="90" customHeight="1">
      <c r="A408" s="102">
        <f t="shared" ref="A408:A471" si="67">+A407+1</f>
        <v>387</v>
      </c>
      <c r="B408" s="52"/>
      <c r="C408" s="51" t="s">
        <v>840</v>
      </c>
      <c r="D408" s="35" t="s">
        <v>339</v>
      </c>
      <c r="E408" s="35" t="s">
        <v>339</v>
      </c>
      <c r="F408" s="36" t="s">
        <v>832</v>
      </c>
      <c r="G408" s="35" t="s">
        <v>48</v>
      </c>
      <c r="H408" s="51" t="s">
        <v>46</v>
      </c>
      <c r="I408" s="34" t="s">
        <v>46</v>
      </c>
      <c r="J408" s="52" t="s">
        <v>46</v>
      </c>
      <c r="K408" s="52"/>
      <c r="L408" s="51" t="s">
        <v>61</v>
      </c>
      <c r="M408" s="51" t="s">
        <v>1251</v>
      </c>
      <c r="N408" s="36" t="s">
        <v>181</v>
      </c>
      <c r="O408" s="51"/>
      <c r="P408" s="51" t="s">
        <v>841</v>
      </c>
      <c r="Q408" s="37">
        <v>41730</v>
      </c>
      <c r="R408" s="37">
        <v>42094</v>
      </c>
      <c r="S408" s="35" t="s">
        <v>52</v>
      </c>
      <c r="T408" s="38">
        <v>0</v>
      </c>
      <c r="U408" s="39"/>
      <c r="V408" s="131"/>
      <c r="W408" s="38">
        <f>55000*5</f>
        <v>275000</v>
      </c>
      <c r="X408" s="38">
        <f>+W408*1.05</f>
        <v>288750</v>
      </c>
      <c r="Y408" s="132">
        <f>+X408*1.05</f>
        <v>303187.5</v>
      </c>
      <c r="Z408" s="38">
        <f>+Y408*1.05</f>
        <v>318346.875</v>
      </c>
      <c r="AA408" s="91">
        <f>+Z408*1.05</f>
        <v>334264.21875</v>
      </c>
      <c r="AB408" s="91">
        <f t="shared" ref="AB408:AF408" si="68">+AA408*1.05</f>
        <v>350977.4296875</v>
      </c>
      <c r="AC408" s="91">
        <f t="shared" si="68"/>
        <v>368526.30117187503</v>
      </c>
      <c r="AD408" s="91">
        <f t="shared" si="68"/>
        <v>386952.61623046879</v>
      </c>
      <c r="AE408" s="91">
        <f t="shared" si="68"/>
        <v>406300.24704199226</v>
      </c>
      <c r="AF408" s="91">
        <f t="shared" si="68"/>
        <v>426615.2593940919</v>
      </c>
      <c r="AG408" s="204">
        <f>+AF408*1.05</f>
        <v>447946.02236379654</v>
      </c>
    </row>
    <row r="409" spans="1:33" s="103" customFormat="1" ht="90" customHeight="1">
      <c r="A409" s="102">
        <f t="shared" si="67"/>
        <v>388</v>
      </c>
      <c r="B409" s="52"/>
      <c r="C409" s="51" t="s">
        <v>842</v>
      </c>
      <c r="D409" s="35" t="s">
        <v>73</v>
      </c>
      <c r="E409" s="35">
        <v>800021238</v>
      </c>
      <c r="F409" s="36" t="s">
        <v>187</v>
      </c>
      <c r="G409" s="35" t="s">
        <v>48</v>
      </c>
      <c r="H409" s="51" t="s">
        <v>57</v>
      </c>
      <c r="I409" s="34" t="s">
        <v>58</v>
      </c>
      <c r="J409" s="52" t="s">
        <v>59</v>
      </c>
      <c r="K409" s="52" t="s">
        <v>60</v>
      </c>
      <c r="L409" s="51" t="s">
        <v>61</v>
      </c>
      <c r="M409" s="51" t="s">
        <v>7</v>
      </c>
      <c r="N409" s="36" t="s">
        <v>181</v>
      </c>
      <c r="O409" s="51"/>
      <c r="P409" s="51" t="s">
        <v>843</v>
      </c>
      <c r="Q409" s="37">
        <v>42156</v>
      </c>
      <c r="R409" s="37">
        <v>42521</v>
      </c>
      <c r="S409" s="35" t="s">
        <v>52</v>
      </c>
      <c r="T409" s="38">
        <v>11600000</v>
      </c>
      <c r="U409" s="39"/>
      <c r="V409" s="131">
        <v>3000000</v>
      </c>
      <c r="W409" s="38">
        <v>0</v>
      </c>
      <c r="X409" s="38">
        <v>8100000</v>
      </c>
      <c r="Y409" s="132">
        <v>3500000</v>
      </c>
      <c r="Z409" s="38">
        <v>0</v>
      </c>
      <c r="AA409" s="91">
        <f>+T409*0.01</f>
        <v>116000</v>
      </c>
      <c r="AB409" s="91">
        <v>0</v>
      </c>
      <c r="AC409" s="91">
        <f>+AA409*1.15</f>
        <v>133400</v>
      </c>
      <c r="AD409" s="91">
        <v>0</v>
      </c>
      <c r="AE409" s="91">
        <f>+AC409*1.15</f>
        <v>153410</v>
      </c>
      <c r="AF409" s="91">
        <v>0</v>
      </c>
      <c r="AG409" s="204">
        <f>+AE409*1.15</f>
        <v>176421.5</v>
      </c>
    </row>
    <row r="410" spans="1:33" s="103" customFormat="1" ht="90" customHeight="1">
      <c r="A410" s="102">
        <f t="shared" si="67"/>
        <v>389</v>
      </c>
      <c r="B410" s="52"/>
      <c r="C410" s="51" t="s">
        <v>844</v>
      </c>
      <c r="D410" s="35" t="s">
        <v>73</v>
      </c>
      <c r="E410" s="35">
        <v>800001412</v>
      </c>
      <c r="F410" s="36" t="s">
        <v>187</v>
      </c>
      <c r="G410" s="35" t="s">
        <v>48</v>
      </c>
      <c r="H410" s="51" t="s">
        <v>97</v>
      </c>
      <c r="I410" s="34" t="s">
        <v>845</v>
      </c>
      <c r="J410" s="52" t="s">
        <v>164</v>
      </c>
      <c r="K410" s="52"/>
      <c r="L410" s="51" t="s">
        <v>61</v>
      </c>
      <c r="M410" s="51" t="s">
        <v>7</v>
      </c>
      <c r="N410" s="36" t="s">
        <v>181</v>
      </c>
      <c r="O410" s="51"/>
      <c r="P410" s="51" t="s">
        <v>846</v>
      </c>
      <c r="Q410" s="37">
        <v>42522</v>
      </c>
      <c r="R410" s="37">
        <v>42886</v>
      </c>
      <c r="S410" s="35" t="s">
        <v>96</v>
      </c>
      <c r="T410" s="38">
        <v>10800000</v>
      </c>
      <c r="U410" s="39"/>
      <c r="V410" s="131">
        <v>3000000</v>
      </c>
      <c r="W410" s="38">
        <v>0</v>
      </c>
      <c r="X410" s="38">
        <v>0</v>
      </c>
      <c r="Y410" s="132">
        <v>10800000</v>
      </c>
      <c r="Z410" s="38">
        <v>0</v>
      </c>
      <c r="AA410" s="91">
        <v>0</v>
      </c>
      <c r="AB410" s="91">
        <v>0</v>
      </c>
      <c r="AC410" s="91">
        <v>0</v>
      </c>
      <c r="AD410" s="91">
        <v>0</v>
      </c>
      <c r="AE410" s="91">
        <v>0</v>
      </c>
      <c r="AF410" s="91">
        <v>0</v>
      </c>
      <c r="AG410" s="204">
        <v>0</v>
      </c>
    </row>
    <row r="411" spans="1:33" s="103" customFormat="1" ht="90" customHeight="1">
      <c r="A411" s="102">
        <f t="shared" si="67"/>
        <v>390</v>
      </c>
      <c r="B411" s="52"/>
      <c r="C411" s="51" t="s">
        <v>847</v>
      </c>
      <c r="D411" s="35" t="s">
        <v>73</v>
      </c>
      <c r="E411" s="35">
        <v>800008581</v>
      </c>
      <c r="F411" s="36" t="s">
        <v>187</v>
      </c>
      <c r="G411" s="35" t="s">
        <v>48</v>
      </c>
      <c r="H411" s="51" t="s">
        <v>57</v>
      </c>
      <c r="I411" s="34" t="s">
        <v>122</v>
      </c>
      <c r="J411" s="52" t="s">
        <v>123</v>
      </c>
      <c r="K411" s="52"/>
      <c r="L411" s="51" t="s">
        <v>61</v>
      </c>
      <c r="M411" s="51" t="s">
        <v>7</v>
      </c>
      <c r="N411" s="36" t="s">
        <v>181</v>
      </c>
      <c r="O411" s="51"/>
      <c r="P411" s="51" t="s">
        <v>846</v>
      </c>
      <c r="Q411" s="37">
        <v>42887</v>
      </c>
      <c r="R411" s="37">
        <v>43251</v>
      </c>
      <c r="S411" s="35" t="s">
        <v>96</v>
      </c>
      <c r="T411" s="38">
        <v>10800000</v>
      </c>
      <c r="U411" s="39"/>
      <c r="V411" s="131">
        <v>3000000</v>
      </c>
      <c r="W411" s="38">
        <v>0</v>
      </c>
      <c r="X411" s="38">
        <v>0</v>
      </c>
      <c r="Y411" s="38">
        <v>0</v>
      </c>
      <c r="Z411" s="38">
        <v>10800000</v>
      </c>
      <c r="AA411" s="91">
        <v>0</v>
      </c>
      <c r="AB411" s="91">
        <f>+T411*0.01</f>
        <v>108000</v>
      </c>
      <c r="AC411" s="91">
        <v>0</v>
      </c>
      <c r="AD411" s="91">
        <f>+AB411*1.15</f>
        <v>124199.99999999999</v>
      </c>
      <c r="AE411" s="91">
        <v>0</v>
      </c>
      <c r="AF411" s="91">
        <f>+AD411*1.15</f>
        <v>142829.99999999997</v>
      </c>
      <c r="AG411" s="204">
        <v>0</v>
      </c>
    </row>
    <row r="412" spans="1:33" s="103" customFormat="1" ht="90" customHeight="1">
      <c r="A412" s="102">
        <f t="shared" si="67"/>
        <v>391</v>
      </c>
      <c r="B412" s="52"/>
      <c r="C412" s="51" t="s">
        <v>848</v>
      </c>
      <c r="D412" s="35" t="s">
        <v>73</v>
      </c>
      <c r="E412" s="35">
        <v>800013037</v>
      </c>
      <c r="F412" s="36" t="s">
        <v>187</v>
      </c>
      <c r="G412" s="35" t="s">
        <v>48</v>
      </c>
      <c r="H412" s="51" t="s">
        <v>57</v>
      </c>
      <c r="I412" s="34" t="s">
        <v>734</v>
      </c>
      <c r="J412" s="52" t="s">
        <v>158</v>
      </c>
      <c r="K412" s="52"/>
      <c r="L412" s="51" t="s">
        <v>61</v>
      </c>
      <c r="M412" s="51" t="s">
        <v>7</v>
      </c>
      <c r="N412" s="36" t="s">
        <v>181</v>
      </c>
      <c r="O412" s="51"/>
      <c r="P412" s="51" t="s">
        <v>849</v>
      </c>
      <c r="Q412" s="37">
        <v>42887</v>
      </c>
      <c r="R412" s="37">
        <v>43251</v>
      </c>
      <c r="S412" s="35" t="s">
        <v>96</v>
      </c>
      <c r="T412" s="38">
        <v>12400000</v>
      </c>
      <c r="U412" s="39"/>
      <c r="V412" s="131">
        <v>3000000</v>
      </c>
      <c r="W412" s="38">
        <v>0</v>
      </c>
      <c r="X412" s="38">
        <v>0</v>
      </c>
      <c r="Y412" s="38">
        <v>0</v>
      </c>
      <c r="Z412" s="38">
        <v>12400000</v>
      </c>
      <c r="AA412" s="91">
        <v>0</v>
      </c>
      <c r="AB412" s="91">
        <f>+T412*0.01</f>
        <v>124000</v>
      </c>
      <c r="AC412" s="91">
        <v>0</v>
      </c>
      <c r="AD412" s="91">
        <f>+AB412*1.15</f>
        <v>142600</v>
      </c>
      <c r="AE412" s="91">
        <v>0</v>
      </c>
      <c r="AF412" s="91">
        <f>+AD412*1.15</f>
        <v>163990</v>
      </c>
      <c r="AG412" s="204">
        <v>0</v>
      </c>
    </row>
    <row r="413" spans="1:33" s="103" customFormat="1" ht="90" customHeight="1">
      <c r="A413" s="102">
        <f t="shared" si="67"/>
        <v>392</v>
      </c>
      <c r="B413" s="52"/>
      <c r="C413" s="51" t="s">
        <v>850</v>
      </c>
      <c r="D413" s="35" t="s">
        <v>73</v>
      </c>
      <c r="E413" s="35">
        <v>800022160</v>
      </c>
      <c r="F413" s="36" t="s">
        <v>227</v>
      </c>
      <c r="G413" s="35" t="s">
        <v>48</v>
      </c>
      <c r="H413" s="51" t="s">
        <v>68</v>
      </c>
      <c r="I413" s="34" t="s">
        <v>410</v>
      </c>
      <c r="J413" s="52" t="s">
        <v>70</v>
      </c>
      <c r="K413" s="52" t="s">
        <v>60</v>
      </c>
      <c r="L413" s="51" t="s">
        <v>61</v>
      </c>
      <c r="M413" s="51" t="s">
        <v>6</v>
      </c>
      <c r="N413" s="36" t="s">
        <v>181</v>
      </c>
      <c r="O413" s="51"/>
      <c r="P413" s="51" t="s">
        <v>851</v>
      </c>
      <c r="Q413" s="37">
        <v>42156</v>
      </c>
      <c r="R413" s="37">
        <v>42400</v>
      </c>
      <c r="S413" s="35" t="s">
        <v>52</v>
      </c>
      <c r="T413" s="38">
        <v>300000</v>
      </c>
      <c r="U413" s="39"/>
      <c r="V413" s="131"/>
      <c r="W413" s="38">
        <v>0</v>
      </c>
      <c r="X413" s="38">
        <f t="shared" ref="X413:X422" si="69">+T413</f>
        <v>300000</v>
      </c>
      <c r="Y413" s="38">
        <v>0</v>
      </c>
      <c r="Z413" s="38">
        <v>0</v>
      </c>
      <c r="AA413" s="91">
        <v>0</v>
      </c>
      <c r="AB413" s="91">
        <v>0</v>
      </c>
      <c r="AC413" s="91">
        <v>0</v>
      </c>
      <c r="AD413" s="91">
        <v>0</v>
      </c>
      <c r="AE413" s="91">
        <v>0</v>
      </c>
      <c r="AF413" s="91">
        <v>0</v>
      </c>
      <c r="AG413" s="204">
        <v>0</v>
      </c>
    </row>
    <row r="414" spans="1:33" s="103" customFormat="1" ht="90" customHeight="1">
      <c r="A414" s="102">
        <f t="shared" si="67"/>
        <v>393</v>
      </c>
      <c r="B414" s="52"/>
      <c r="C414" s="51" t="s">
        <v>852</v>
      </c>
      <c r="D414" s="35" t="s">
        <v>73</v>
      </c>
      <c r="E414" s="35">
        <v>800010785</v>
      </c>
      <c r="F414" s="36" t="s">
        <v>227</v>
      </c>
      <c r="G414" s="35" t="s">
        <v>48</v>
      </c>
      <c r="H414" s="51" t="s">
        <v>68</v>
      </c>
      <c r="I414" s="34" t="s">
        <v>579</v>
      </c>
      <c r="J414" s="52" t="s">
        <v>70</v>
      </c>
      <c r="K414" s="52" t="s">
        <v>60</v>
      </c>
      <c r="L414" s="51" t="s">
        <v>61</v>
      </c>
      <c r="M414" s="51" t="s">
        <v>6</v>
      </c>
      <c r="N414" s="36" t="s">
        <v>181</v>
      </c>
      <c r="O414" s="51"/>
      <c r="P414" s="51" t="s">
        <v>851</v>
      </c>
      <c r="Q414" s="37">
        <v>42156</v>
      </c>
      <c r="R414" s="37">
        <v>42400</v>
      </c>
      <c r="S414" s="35" t="s">
        <v>52</v>
      </c>
      <c r="T414" s="38">
        <v>300000</v>
      </c>
      <c r="U414" s="39"/>
      <c r="V414" s="131"/>
      <c r="W414" s="38">
        <v>0</v>
      </c>
      <c r="X414" s="38">
        <f t="shared" si="69"/>
        <v>300000</v>
      </c>
      <c r="Y414" s="38">
        <v>0</v>
      </c>
      <c r="Z414" s="38">
        <v>0</v>
      </c>
      <c r="AA414" s="91">
        <v>0</v>
      </c>
      <c r="AB414" s="91">
        <v>0</v>
      </c>
      <c r="AC414" s="91">
        <v>0</v>
      </c>
      <c r="AD414" s="91">
        <v>0</v>
      </c>
      <c r="AE414" s="91">
        <v>0</v>
      </c>
      <c r="AF414" s="91">
        <v>0</v>
      </c>
      <c r="AG414" s="204">
        <v>0</v>
      </c>
    </row>
    <row r="415" spans="1:33" s="103" customFormat="1" ht="90" customHeight="1">
      <c r="A415" s="102">
        <f t="shared" si="67"/>
        <v>394</v>
      </c>
      <c r="B415" s="52"/>
      <c r="C415" s="51" t="s">
        <v>853</v>
      </c>
      <c r="D415" s="35" t="s">
        <v>73</v>
      </c>
      <c r="E415" s="35">
        <v>800014365</v>
      </c>
      <c r="F415" s="36" t="s">
        <v>227</v>
      </c>
      <c r="G415" s="35" t="s">
        <v>48</v>
      </c>
      <c r="H415" s="51" t="s">
        <v>68</v>
      </c>
      <c r="I415" s="34" t="s">
        <v>69</v>
      </c>
      <c r="J415" s="52" t="s">
        <v>70</v>
      </c>
      <c r="K415" s="52" t="s">
        <v>60</v>
      </c>
      <c r="L415" s="51" t="s">
        <v>61</v>
      </c>
      <c r="M415" s="51" t="s">
        <v>6</v>
      </c>
      <c r="N415" s="36" t="s">
        <v>181</v>
      </c>
      <c r="O415" s="51"/>
      <c r="P415" s="51" t="s">
        <v>851</v>
      </c>
      <c r="Q415" s="37">
        <v>42156</v>
      </c>
      <c r="R415" s="37">
        <v>42400</v>
      </c>
      <c r="S415" s="35" t="s">
        <v>52</v>
      </c>
      <c r="T415" s="38">
        <v>300000</v>
      </c>
      <c r="U415" s="39"/>
      <c r="V415" s="131"/>
      <c r="W415" s="38">
        <v>0</v>
      </c>
      <c r="X415" s="38">
        <f t="shared" si="69"/>
        <v>300000</v>
      </c>
      <c r="Y415" s="38">
        <v>0</v>
      </c>
      <c r="Z415" s="38">
        <v>0</v>
      </c>
      <c r="AA415" s="91">
        <v>0</v>
      </c>
      <c r="AB415" s="91">
        <v>0</v>
      </c>
      <c r="AC415" s="91">
        <v>0</v>
      </c>
      <c r="AD415" s="91">
        <v>0</v>
      </c>
      <c r="AE415" s="91">
        <v>0</v>
      </c>
      <c r="AF415" s="91">
        <v>0</v>
      </c>
      <c r="AG415" s="204">
        <v>0</v>
      </c>
    </row>
    <row r="416" spans="1:33" s="103" customFormat="1" ht="90" customHeight="1">
      <c r="A416" s="102">
        <f t="shared" si="67"/>
        <v>395</v>
      </c>
      <c r="B416" s="52"/>
      <c r="C416" s="51" t="s">
        <v>854</v>
      </c>
      <c r="D416" s="35" t="s">
        <v>73</v>
      </c>
      <c r="E416" s="35">
        <v>800023275</v>
      </c>
      <c r="F416" s="36" t="s">
        <v>227</v>
      </c>
      <c r="G416" s="35" t="s">
        <v>48</v>
      </c>
      <c r="H416" s="51" t="s">
        <v>57</v>
      </c>
      <c r="I416" s="34" t="s">
        <v>855</v>
      </c>
      <c r="J416" s="52" t="s">
        <v>123</v>
      </c>
      <c r="K416" s="52"/>
      <c r="L416" s="51" t="s">
        <v>61</v>
      </c>
      <c r="M416" s="51" t="s">
        <v>6</v>
      </c>
      <c r="N416" s="36" t="s">
        <v>181</v>
      </c>
      <c r="O416" s="51"/>
      <c r="P416" s="51" t="s">
        <v>856</v>
      </c>
      <c r="Q416" s="37">
        <v>42156</v>
      </c>
      <c r="R416" s="37">
        <v>42400</v>
      </c>
      <c r="S416" s="35" t="s">
        <v>52</v>
      </c>
      <c r="T416" s="38">
        <v>300000</v>
      </c>
      <c r="U416" s="39"/>
      <c r="V416" s="131"/>
      <c r="W416" s="38">
        <v>0</v>
      </c>
      <c r="X416" s="38">
        <f t="shared" si="69"/>
        <v>300000</v>
      </c>
      <c r="Y416" s="38">
        <v>0</v>
      </c>
      <c r="Z416" s="38">
        <v>0</v>
      </c>
      <c r="AA416" s="91">
        <v>0</v>
      </c>
      <c r="AB416" s="91">
        <v>0</v>
      </c>
      <c r="AC416" s="91">
        <v>0</v>
      </c>
      <c r="AD416" s="91">
        <v>0</v>
      </c>
      <c r="AE416" s="91">
        <v>0</v>
      </c>
      <c r="AF416" s="91">
        <v>0</v>
      </c>
      <c r="AG416" s="204">
        <v>0</v>
      </c>
    </row>
    <row r="417" spans="1:33" s="103" customFormat="1" ht="90" customHeight="1">
      <c r="A417" s="102">
        <f t="shared" si="67"/>
        <v>396</v>
      </c>
      <c r="B417" s="52"/>
      <c r="C417" s="51" t="s">
        <v>857</v>
      </c>
      <c r="D417" s="35" t="s">
        <v>73</v>
      </c>
      <c r="E417" s="35">
        <v>800025965</v>
      </c>
      <c r="F417" s="36" t="s">
        <v>227</v>
      </c>
      <c r="G417" s="35" t="s">
        <v>48</v>
      </c>
      <c r="H417" s="51" t="s">
        <v>57</v>
      </c>
      <c r="I417" s="34" t="s">
        <v>454</v>
      </c>
      <c r="J417" s="52" t="s">
        <v>188</v>
      </c>
      <c r="K417" s="52" t="s">
        <v>60</v>
      </c>
      <c r="L417" s="51" t="s">
        <v>61</v>
      </c>
      <c r="M417" s="51" t="s">
        <v>6</v>
      </c>
      <c r="N417" s="36" t="s">
        <v>181</v>
      </c>
      <c r="O417" s="51"/>
      <c r="P417" s="51" t="s">
        <v>851</v>
      </c>
      <c r="Q417" s="37">
        <v>42156</v>
      </c>
      <c r="R417" s="37">
        <v>42400</v>
      </c>
      <c r="S417" s="35" t="s">
        <v>52</v>
      </c>
      <c r="T417" s="38">
        <v>300000</v>
      </c>
      <c r="U417" s="39"/>
      <c r="V417" s="131"/>
      <c r="W417" s="38">
        <v>0</v>
      </c>
      <c r="X417" s="38">
        <f t="shared" si="69"/>
        <v>300000</v>
      </c>
      <c r="Y417" s="38">
        <v>0</v>
      </c>
      <c r="Z417" s="38">
        <v>0</v>
      </c>
      <c r="AA417" s="91">
        <v>0</v>
      </c>
      <c r="AB417" s="91">
        <v>0</v>
      </c>
      <c r="AC417" s="91">
        <v>0</v>
      </c>
      <c r="AD417" s="91">
        <v>0</v>
      </c>
      <c r="AE417" s="91">
        <v>0</v>
      </c>
      <c r="AF417" s="91">
        <v>0</v>
      </c>
      <c r="AG417" s="204">
        <v>0</v>
      </c>
    </row>
    <row r="418" spans="1:33" s="103" customFormat="1" ht="90" customHeight="1">
      <c r="A418" s="102">
        <f t="shared" si="67"/>
        <v>397</v>
      </c>
      <c r="B418" s="52"/>
      <c r="C418" s="51" t="s">
        <v>858</v>
      </c>
      <c r="D418" s="35" t="s">
        <v>73</v>
      </c>
      <c r="E418" s="35">
        <v>800010496</v>
      </c>
      <c r="F418" s="36" t="s">
        <v>227</v>
      </c>
      <c r="G418" s="35" t="s">
        <v>48</v>
      </c>
      <c r="H418" s="51" t="s">
        <v>57</v>
      </c>
      <c r="I418" s="34" t="s">
        <v>157</v>
      </c>
      <c r="J418" s="52" t="s">
        <v>158</v>
      </c>
      <c r="K418" s="52"/>
      <c r="L418" s="51" t="s">
        <v>61</v>
      </c>
      <c r="M418" s="51" t="s">
        <v>6</v>
      </c>
      <c r="N418" s="36" t="s">
        <v>181</v>
      </c>
      <c r="O418" s="51"/>
      <c r="P418" s="51" t="s">
        <v>856</v>
      </c>
      <c r="Q418" s="37">
        <v>42156</v>
      </c>
      <c r="R418" s="37">
        <v>42400</v>
      </c>
      <c r="S418" s="35" t="s">
        <v>52</v>
      </c>
      <c r="T418" s="38">
        <v>300000</v>
      </c>
      <c r="U418" s="39"/>
      <c r="V418" s="131"/>
      <c r="W418" s="38">
        <v>0</v>
      </c>
      <c r="X418" s="38">
        <f t="shared" si="69"/>
        <v>300000</v>
      </c>
      <c r="Y418" s="38">
        <v>0</v>
      </c>
      <c r="Z418" s="38">
        <v>0</v>
      </c>
      <c r="AA418" s="91">
        <v>0</v>
      </c>
      <c r="AB418" s="91">
        <v>0</v>
      </c>
      <c r="AC418" s="91">
        <v>0</v>
      </c>
      <c r="AD418" s="91">
        <v>0</v>
      </c>
      <c r="AE418" s="91">
        <v>0</v>
      </c>
      <c r="AF418" s="91">
        <v>0</v>
      </c>
      <c r="AG418" s="204">
        <v>0</v>
      </c>
    </row>
    <row r="419" spans="1:33" s="103" customFormat="1" ht="90" customHeight="1">
      <c r="A419" s="102">
        <f t="shared" si="67"/>
        <v>398</v>
      </c>
      <c r="B419" s="52"/>
      <c r="C419" s="51" t="s">
        <v>859</v>
      </c>
      <c r="D419" s="35" t="s">
        <v>73</v>
      </c>
      <c r="E419" s="35">
        <v>800001412</v>
      </c>
      <c r="F419" s="36" t="s">
        <v>227</v>
      </c>
      <c r="G419" s="35" t="s">
        <v>48</v>
      </c>
      <c r="H419" s="51" t="s">
        <v>97</v>
      </c>
      <c r="I419" s="34" t="s">
        <v>845</v>
      </c>
      <c r="J419" s="52" t="s">
        <v>164</v>
      </c>
      <c r="K419" s="52"/>
      <c r="L419" s="51" t="s">
        <v>61</v>
      </c>
      <c r="M419" s="51" t="s">
        <v>6</v>
      </c>
      <c r="N419" s="36" t="s">
        <v>181</v>
      </c>
      <c r="O419" s="51"/>
      <c r="P419" s="51" t="s">
        <v>856</v>
      </c>
      <c r="Q419" s="37">
        <v>42156</v>
      </c>
      <c r="R419" s="37">
        <v>42369</v>
      </c>
      <c r="S419" s="35" t="s">
        <v>52</v>
      </c>
      <c r="T419" s="38">
        <v>300000</v>
      </c>
      <c r="U419" s="39"/>
      <c r="V419" s="131"/>
      <c r="W419" s="38">
        <v>0</v>
      </c>
      <c r="X419" s="38">
        <f t="shared" si="69"/>
        <v>300000</v>
      </c>
      <c r="Y419" s="38">
        <v>0</v>
      </c>
      <c r="Z419" s="38">
        <v>0</v>
      </c>
      <c r="AA419" s="91">
        <v>0</v>
      </c>
      <c r="AB419" s="91">
        <v>0</v>
      </c>
      <c r="AC419" s="91">
        <v>0</v>
      </c>
      <c r="AD419" s="91">
        <v>0</v>
      </c>
      <c r="AE419" s="91">
        <v>0</v>
      </c>
      <c r="AF419" s="91">
        <v>0</v>
      </c>
      <c r="AG419" s="204">
        <v>0</v>
      </c>
    </row>
    <row r="420" spans="1:33" s="103" customFormat="1" ht="90" customHeight="1">
      <c r="A420" s="102">
        <f t="shared" si="67"/>
        <v>399</v>
      </c>
      <c r="B420" s="52"/>
      <c r="C420" s="51" t="s">
        <v>860</v>
      </c>
      <c r="D420" s="35" t="s">
        <v>73</v>
      </c>
      <c r="E420" s="35">
        <v>800019117</v>
      </c>
      <c r="F420" s="36" t="s">
        <v>227</v>
      </c>
      <c r="G420" s="35" t="s">
        <v>48</v>
      </c>
      <c r="H420" s="51" t="s">
        <v>97</v>
      </c>
      <c r="I420" s="34" t="s">
        <v>214</v>
      </c>
      <c r="J420" s="52" t="s">
        <v>169</v>
      </c>
      <c r="K420" s="52" t="s">
        <v>60</v>
      </c>
      <c r="L420" s="51" t="s">
        <v>61</v>
      </c>
      <c r="M420" s="51" t="s">
        <v>6</v>
      </c>
      <c r="N420" s="36" t="s">
        <v>181</v>
      </c>
      <c r="O420" s="51"/>
      <c r="P420" s="51" t="s">
        <v>851</v>
      </c>
      <c r="Q420" s="37">
        <v>42156</v>
      </c>
      <c r="R420" s="37">
        <v>42400</v>
      </c>
      <c r="S420" s="35" t="s">
        <v>52</v>
      </c>
      <c r="T420" s="38">
        <v>300000</v>
      </c>
      <c r="U420" s="39"/>
      <c r="V420" s="131"/>
      <c r="W420" s="38">
        <v>0</v>
      </c>
      <c r="X420" s="38">
        <f t="shared" si="69"/>
        <v>300000</v>
      </c>
      <c r="Y420" s="38">
        <v>0</v>
      </c>
      <c r="Z420" s="38">
        <v>0</v>
      </c>
      <c r="AA420" s="91">
        <v>0</v>
      </c>
      <c r="AB420" s="91">
        <v>0</v>
      </c>
      <c r="AC420" s="91">
        <v>0</v>
      </c>
      <c r="AD420" s="91">
        <v>0</v>
      </c>
      <c r="AE420" s="91">
        <v>0</v>
      </c>
      <c r="AF420" s="91">
        <v>0</v>
      </c>
      <c r="AG420" s="204">
        <v>0</v>
      </c>
    </row>
    <row r="421" spans="1:33" s="103" customFormat="1" ht="90" customHeight="1">
      <c r="A421" s="102">
        <f t="shared" si="67"/>
        <v>400</v>
      </c>
      <c r="B421" s="52"/>
      <c r="C421" s="51" t="s">
        <v>861</v>
      </c>
      <c r="D421" s="35" t="s">
        <v>73</v>
      </c>
      <c r="E421" s="35">
        <v>800021923</v>
      </c>
      <c r="F421" s="36" t="s">
        <v>227</v>
      </c>
      <c r="G421" s="35" t="s">
        <v>48</v>
      </c>
      <c r="H421" s="51" t="s">
        <v>97</v>
      </c>
      <c r="I421" s="34" t="s">
        <v>297</v>
      </c>
      <c r="J421" s="52" t="s">
        <v>99</v>
      </c>
      <c r="K421" s="52"/>
      <c r="L421" s="51" t="s">
        <v>61</v>
      </c>
      <c r="M421" s="51" t="s">
        <v>6</v>
      </c>
      <c r="N421" s="36" t="s">
        <v>181</v>
      </c>
      <c r="O421" s="51"/>
      <c r="P421" s="51" t="s">
        <v>856</v>
      </c>
      <c r="Q421" s="37">
        <v>42156</v>
      </c>
      <c r="R421" s="37">
        <v>42400</v>
      </c>
      <c r="S421" s="35" t="s">
        <v>52</v>
      </c>
      <c r="T421" s="38">
        <v>300000</v>
      </c>
      <c r="U421" s="39"/>
      <c r="V421" s="131"/>
      <c r="W421" s="38">
        <v>0</v>
      </c>
      <c r="X421" s="38">
        <f t="shared" si="69"/>
        <v>300000</v>
      </c>
      <c r="Y421" s="38">
        <v>0</v>
      </c>
      <c r="Z421" s="38">
        <v>0</v>
      </c>
      <c r="AA421" s="91">
        <v>0</v>
      </c>
      <c r="AB421" s="91">
        <v>0</v>
      </c>
      <c r="AC421" s="91">
        <v>0</v>
      </c>
      <c r="AD421" s="91">
        <v>0</v>
      </c>
      <c r="AE421" s="91">
        <v>0</v>
      </c>
      <c r="AF421" s="91">
        <v>0</v>
      </c>
      <c r="AG421" s="204">
        <v>0</v>
      </c>
    </row>
    <row r="422" spans="1:33" s="103" customFormat="1" ht="90" customHeight="1">
      <c r="A422" s="102">
        <f t="shared" si="67"/>
        <v>401</v>
      </c>
      <c r="B422" s="52"/>
      <c r="C422" s="51" t="s">
        <v>862</v>
      </c>
      <c r="D422" s="35" t="s">
        <v>73</v>
      </c>
      <c r="E422" s="35">
        <v>800007583</v>
      </c>
      <c r="F422" s="36" t="s">
        <v>227</v>
      </c>
      <c r="G422" s="35" t="s">
        <v>48</v>
      </c>
      <c r="H422" s="51" t="s">
        <v>97</v>
      </c>
      <c r="I422" s="34" t="s">
        <v>168</v>
      </c>
      <c r="J422" s="52" t="s">
        <v>169</v>
      </c>
      <c r="K422" s="52" t="s">
        <v>60</v>
      </c>
      <c r="L422" s="51" t="s">
        <v>61</v>
      </c>
      <c r="M422" s="51" t="s">
        <v>6</v>
      </c>
      <c r="N422" s="36" t="s">
        <v>181</v>
      </c>
      <c r="O422" s="51"/>
      <c r="P422" s="51" t="s">
        <v>851</v>
      </c>
      <c r="Q422" s="37">
        <v>42156</v>
      </c>
      <c r="R422" s="37">
        <v>42400</v>
      </c>
      <c r="S422" s="35" t="s">
        <v>52</v>
      </c>
      <c r="T422" s="38">
        <v>300000</v>
      </c>
      <c r="U422" s="39"/>
      <c r="V422" s="131"/>
      <c r="W422" s="38">
        <v>0</v>
      </c>
      <c r="X422" s="38">
        <f t="shared" si="69"/>
        <v>300000</v>
      </c>
      <c r="Y422" s="38">
        <v>0</v>
      </c>
      <c r="Z422" s="38">
        <v>0</v>
      </c>
      <c r="AA422" s="91">
        <v>0</v>
      </c>
      <c r="AB422" s="91">
        <v>0</v>
      </c>
      <c r="AC422" s="91">
        <v>0</v>
      </c>
      <c r="AD422" s="91">
        <v>0</v>
      </c>
      <c r="AE422" s="91">
        <v>0</v>
      </c>
      <c r="AF422" s="91">
        <v>0</v>
      </c>
      <c r="AG422" s="204">
        <v>0</v>
      </c>
    </row>
    <row r="423" spans="1:33" s="103" customFormat="1" ht="90" customHeight="1">
      <c r="A423" s="102">
        <f t="shared" si="67"/>
        <v>402</v>
      </c>
      <c r="B423" s="52"/>
      <c r="C423" s="51" t="s">
        <v>863</v>
      </c>
      <c r="D423" s="35" t="s">
        <v>73</v>
      </c>
      <c r="E423" s="35">
        <v>800035125</v>
      </c>
      <c r="F423" s="36" t="s">
        <v>227</v>
      </c>
      <c r="G423" s="35" t="s">
        <v>48</v>
      </c>
      <c r="H423" s="51" t="s">
        <v>74</v>
      </c>
      <c r="I423" s="34" t="s">
        <v>406</v>
      </c>
      <c r="J423" s="52" t="s">
        <v>75</v>
      </c>
      <c r="K423" s="52" t="s">
        <v>60</v>
      </c>
      <c r="L423" s="51" t="s">
        <v>61</v>
      </c>
      <c r="M423" s="51" t="s">
        <v>6</v>
      </c>
      <c r="N423" s="36" t="s">
        <v>181</v>
      </c>
      <c r="O423" s="51"/>
      <c r="P423" s="51" t="s">
        <v>851</v>
      </c>
      <c r="Q423" s="37">
        <v>42522</v>
      </c>
      <c r="R423" s="37">
        <v>42766</v>
      </c>
      <c r="S423" s="35" t="s">
        <v>96</v>
      </c>
      <c r="T423" s="38">
        <v>300000</v>
      </c>
      <c r="U423" s="39"/>
      <c r="V423" s="131"/>
      <c r="W423" s="38">
        <v>0</v>
      </c>
      <c r="X423" s="38">
        <v>0</v>
      </c>
      <c r="Y423" s="132">
        <v>300000</v>
      </c>
      <c r="Z423" s="38">
        <v>0</v>
      </c>
      <c r="AA423" s="91">
        <v>0</v>
      </c>
      <c r="AB423" s="91">
        <v>0</v>
      </c>
      <c r="AC423" s="91">
        <v>0</v>
      </c>
      <c r="AD423" s="91">
        <v>0</v>
      </c>
      <c r="AE423" s="91">
        <v>0</v>
      </c>
      <c r="AF423" s="91">
        <v>0</v>
      </c>
      <c r="AG423" s="204">
        <v>0</v>
      </c>
    </row>
    <row r="424" spans="1:33" s="103" customFormat="1" ht="90" customHeight="1">
      <c r="A424" s="102">
        <f t="shared" si="67"/>
        <v>403</v>
      </c>
      <c r="B424" s="52"/>
      <c r="C424" s="51" t="s">
        <v>864</v>
      </c>
      <c r="D424" s="35" t="s">
        <v>73</v>
      </c>
      <c r="E424" s="35">
        <v>800006411</v>
      </c>
      <c r="F424" s="36" t="s">
        <v>227</v>
      </c>
      <c r="G424" s="35" t="s">
        <v>48</v>
      </c>
      <c r="H424" s="51" t="s">
        <v>68</v>
      </c>
      <c r="I424" s="34" t="s">
        <v>105</v>
      </c>
      <c r="J424" s="52" t="s">
        <v>70</v>
      </c>
      <c r="K424" s="52" t="s">
        <v>60</v>
      </c>
      <c r="L424" s="51" t="s">
        <v>61</v>
      </c>
      <c r="M424" s="51" t="s">
        <v>6</v>
      </c>
      <c r="N424" s="36" t="s">
        <v>181</v>
      </c>
      <c r="O424" s="51"/>
      <c r="P424" s="51" t="s">
        <v>851</v>
      </c>
      <c r="Q424" s="37">
        <v>42522</v>
      </c>
      <c r="R424" s="37">
        <v>42766</v>
      </c>
      <c r="S424" s="35" t="s">
        <v>96</v>
      </c>
      <c r="T424" s="38">
        <v>300000</v>
      </c>
      <c r="U424" s="39"/>
      <c r="V424" s="131"/>
      <c r="W424" s="38">
        <v>0</v>
      </c>
      <c r="X424" s="38">
        <v>0</v>
      </c>
      <c r="Y424" s="132">
        <v>300000</v>
      </c>
      <c r="Z424" s="38">
        <v>0</v>
      </c>
      <c r="AA424" s="91">
        <v>0</v>
      </c>
      <c r="AB424" s="91">
        <v>0</v>
      </c>
      <c r="AC424" s="91">
        <v>0</v>
      </c>
      <c r="AD424" s="91">
        <v>0</v>
      </c>
      <c r="AE424" s="91">
        <v>0</v>
      </c>
      <c r="AF424" s="91">
        <v>0</v>
      </c>
      <c r="AG424" s="204">
        <v>0</v>
      </c>
    </row>
    <row r="425" spans="1:33" s="103" customFormat="1" ht="90" customHeight="1">
      <c r="A425" s="102">
        <f t="shared" si="67"/>
        <v>404</v>
      </c>
      <c r="B425" s="52"/>
      <c r="C425" s="51" t="s">
        <v>865</v>
      </c>
      <c r="D425" s="35" t="s">
        <v>73</v>
      </c>
      <c r="E425" s="35">
        <v>800008607</v>
      </c>
      <c r="F425" s="36" t="s">
        <v>227</v>
      </c>
      <c r="G425" s="35" t="s">
        <v>48</v>
      </c>
      <c r="H425" s="51" t="s">
        <v>68</v>
      </c>
      <c r="I425" s="34" t="s">
        <v>83</v>
      </c>
      <c r="J425" s="52" t="s">
        <v>84</v>
      </c>
      <c r="K425" s="52"/>
      <c r="L425" s="51" t="s">
        <v>61</v>
      </c>
      <c r="M425" s="51" t="s">
        <v>6</v>
      </c>
      <c r="N425" s="36" t="s">
        <v>181</v>
      </c>
      <c r="O425" s="51"/>
      <c r="P425" s="51" t="s">
        <v>856</v>
      </c>
      <c r="Q425" s="37">
        <v>42522</v>
      </c>
      <c r="R425" s="37">
        <v>42766</v>
      </c>
      <c r="S425" s="35" t="s">
        <v>96</v>
      </c>
      <c r="T425" s="38">
        <v>300000</v>
      </c>
      <c r="U425" s="39"/>
      <c r="V425" s="131"/>
      <c r="W425" s="38">
        <v>0</v>
      </c>
      <c r="X425" s="38">
        <v>0</v>
      </c>
      <c r="Y425" s="132">
        <v>300000</v>
      </c>
      <c r="Z425" s="38">
        <v>0</v>
      </c>
      <c r="AA425" s="91">
        <v>0</v>
      </c>
      <c r="AB425" s="91">
        <v>0</v>
      </c>
      <c r="AC425" s="91">
        <v>0</v>
      </c>
      <c r="AD425" s="91">
        <v>0</v>
      </c>
      <c r="AE425" s="91">
        <v>0</v>
      </c>
      <c r="AF425" s="91">
        <v>0</v>
      </c>
      <c r="AG425" s="204">
        <v>0</v>
      </c>
    </row>
    <row r="426" spans="1:33" s="103" customFormat="1" ht="90" customHeight="1">
      <c r="A426" s="102">
        <f t="shared" si="67"/>
        <v>405</v>
      </c>
      <c r="B426" s="52"/>
      <c r="C426" s="51" t="s">
        <v>866</v>
      </c>
      <c r="D426" s="35" t="s">
        <v>73</v>
      </c>
      <c r="E426" s="35">
        <v>800000091</v>
      </c>
      <c r="F426" s="36" t="s">
        <v>227</v>
      </c>
      <c r="G426" s="35" t="s">
        <v>48</v>
      </c>
      <c r="H426" s="51" t="s">
        <v>57</v>
      </c>
      <c r="I426" s="34" t="s">
        <v>369</v>
      </c>
      <c r="J426" s="52" t="s">
        <v>123</v>
      </c>
      <c r="K426" s="52"/>
      <c r="L426" s="51" t="s">
        <v>61</v>
      </c>
      <c r="M426" s="51" t="s">
        <v>6</v>
      </c>
      <c r="N426" s="36" t="s">
        <v>181</v>
      </c>
      <c r="O426" s="51"/>
      <c r="P426" s="51" t="s">
        <v>856</v>
      </c>
      <c r="Q426" s="37">
        <v>42522</v>
      </c>
      <c r="R426" s="37">
        <v>42766</v>
      </c>
      <c r="S426" s="35" t="s">
        <v>96</v>
      </c>
      <c r="T426" s="38">
        <v>300000</v>
      </c>
      <c r="U426" s="39"/>
      <c r="V426" s="131"/>
      <c r="W426" s="38">
        <v>0</v>
      </c>
      <c r="X426" s="38">
        <v>0</v>
      </c>
      <c r="Y426" s="132">
        <v>300000</v>
      </c>
      <c r="Z426" s="38">
        <v>0</v>
      </c>
      <c r="AA426" s="91"/>
      <c r="AB426" s="91"/>
      <c r="AC426" s="91"/>
      <c r="AD426" s="91"/>
      <c r="AE426" s="91"/>
      <c r="AF426" s="91"/>
      <c r="AG426" s="204"/>
    </row>
    <row r="427" spans="1:33" s="103" customFormat="1" ht="90" customHeight="1">
      <c r="A427" s="102">
        <f t="shared" si="67"/>
        <v>406</v>
      </c>
      <c r="B427" s="52"/>
      <c r="C427" s="51" t="s">
        <v>867</v>
      </c>
      <c r="D427" s="35" t="s">
        <v>73</v>
      </c>
      <c r="E427" s="35">
        <v>800022681</v>
      </c>
      <c r="F427" s="36" t="s">
        <v>227</v>
      </c>
      <c r="G427" s="35" t="s">
        <v>48</v>
      </c>
      <c r="H427" s="51" t="s">
        <v>57</v>
      </c>
      <c r="I427" s="34" t="s">
        <v>743</v>
      </c>
      <c r="J427" s="52" t="s">
        <v>188</v>
      </c>
      <c r="K427" s="52" t="s">
        <v>60</v>
      </c>
      <c r="L427" s="51" t="s">
        <v>61</v>
      </c>
      <c r="M427" s="51" t="s">
        <v>6</v>
      </c>
      <c r="N427" s="36" t="s">
        <v>181</v>
      </c>
      <c r="O427" s="51"/>
      <c r="P427" s="51" t="s">
        <v>851</v>
      </c>
      <c r="Q427" s="37">
        <v>42522</v>
      </c>
      <c r="R427" s="37">
        <v>42766</v>
      </c>
      <c r="S427" s="35" t="s">
        <v>96</v>
      </c>
      <c r="T427" s="38">
        <v>300000</v>
      </c>
      <c r="U427" s="39"/>
      <c r="V427" s="131"/>
      <c r="W427" s="38">
        <v>0</v>
      </c>
      <c r="X427" s="38">
        <v>0</v>
      </c>
      <c r="Y427" s="132">
        <v>300000</v>
      </c>
      <c r="Z427" s="38">
        <v>0</v>
      </c>
      <c r="AA427" s="91">
        <v>0</v>
      </c>
      <c r="AB427" s="91">
        <v>0</v>
      </c>
      <c r="AC427" s="91">
        <v>0</v>
      </c>
      <c r="AD427" s="91">
        <v>0</v>
      </c>
      <c r="AE427" s="91">
        <v>0</v>
      </c>
      <c r="AF427" s="91">
        <v>0</v>
      </c>
      <c r="AG427" s="204">
        <v>0</v>
      </c>
    </row>
    <row r="428" spans="1:33" s="103" customFormat="1" ht="90" customHeight="1">
      <c r="A428" s="102">
        <f t="shared" si="67"/>
        <v>407</v>
      </c>
      <c r="B428" s="52"/>
      <c r="C428" s="51" t="s">
        <v>868</v>
      </c>
      <c r="D428" s="35" t="s">
        <v>73</v>
      </c>
      <c r="E428" s="35">
        <v>800005132</v>
      </c>
      <c r="F428" s="36" t="s">
        <v>227</v>
      </c>
      <c r="G428" s="35" t="s">
        <v>48</v>
      </c>
      <c r="H428" s="51" t="s">
        <v>57</v>
      </c>
      <c r="I428" s="34" t="s">
        <v>743</v>
      </c>
      <c r="J428" s="52" t="s">
        <v>188</v>
      </c>
      <c r="K428" s="52" t="s">
        <v>60</v>
      </c>
      <c r="L428" s="51" t="s">
        <v>61</v>
      </c>
      <c r="M428" s="51" t="s">
        <v>6</v>
      </c>
      <c r="N428" s="36" t="s">
        <v>181</v>
      </c>
      <c r="O428" s="51"/>
      <c r="P428" s="51" t="s">
        <v>851</v>
      </c>
      <c r="Q428" s="37">
        <v>42522</v>
      </c>
      <c r="R428" s="37">
        <v>42766</v>
      </c>
      <c r="S428" s="35" t="s">
        <v>96</v>
      </c>
      <c r="T428" s="38">
        <v>300000</v>
      </c>
      <c r="U428" s="39"/>
      <c r="V428" s="131"/>
      <c r="W428" s="38">
        <v>0</v>
      </c>
      <c r="X428" s="38">
        <v>0</v>
      </c>
      <c r="Y428" s="132">
        <v>300000</v>
      </c>
      <c r="Z428" s="38">
        <v>0</v>
      </c>
      <c r="AA428" s="91">
        <v>0</v>
      </c>
      <c r="AB428" s="91">
        <v>0</v>
      </c>
      <c r="AC428" s="91">
        <v>0</v>
      </c>
      <c r="AD428" s="91">
        <v>0</v>
      </c>
      <c r="AE428" s="91">
        <v>0</v>
      </c>
      <c r="AF428" s="91">
        <v>0</v>
      </c>
      <c r="AG428" s="204">
        <v>0</v>
      </c>
    </row>
    <row r="429" spans="1:33" s="103" customFormat="1" ht="90" customHeight="1">
      <c r="A429" s="102">
        <f t="shared" si="67"/>
        <v>408</v>
      </c>
      <c r="B429" s="52"/>
      <c r="C429" s="51" t="s">
        <v>869</v>
      </c>
      <c r="D429" s="35" t="s">
        <v>73</v>
      </c>
      <c r="E429" s="35">
        <v>800014654</v>
      </c>
      <c r="F429" s="36" t="s">
        <v>227</v>
      </c>
      <c r="G429" s="35" t="s">
        <v>48</v>
      </c>
      <c r="H429" s="51" t="s">
        <v>97</v>
      </c>
      <c r="I429" s="34" t="s">
        <v>393</v>
      </c>
      <c r="J429" s="52" t="s">
        <v>169</v>
      </c>
      <c r="K429" s="52" t="s">
        <v>60</v>
      </c>
      <c r="L429" s="51" t="s">
        <v>61</v>
      </c>
      <c r="M429" s="51" t="s">
        <v>6</v>
      </c>
      <c r="N429" s="36" t="s">
        <v>181</v>
      </c>
      <c r="O429" s="51"/>
      <c r="P429" s="51" t="s">
        <v>851</v>
      </c>
      <c r="Q429" s="37">
        <v>42522</v>
      </c>
      <c r="R429" s="37">
        <v>42766</v>
      </c>
      <c r="S429" s="35" t="s">
        <v>96</v>
      </c>
      <c r="T429" s="38">
        <v>300000</v>
      </c>
      <c r="U429" s="39"/>
      <c r="V429" s="131"/>
      <c r="W429" s="38">
        <v>0</v>
      </c>
      <c r="X429" s="38">
        <v>0</v>
      </c>
      <c r="Y429" s="132">
        <v>300000</v>
      </c>
      <c r="Z429" s="38">
        <v>0</v>
      </c>
      <c r="AA429" s="91">
        <v>0</v>
      </c>
      <c r="AB429" s="91">
        <v>0</v>
      </c>
      <c r="AC429" s="91">
        <v>0</v>
      </c>
      <c r="AD429" s="91">
        <v>0</v>
      </c>
      <c r="AE429" s="91">
        <v>0</v>
      </c>
      <c r="AF429" s="91">
        <v>0</v>
      </c>
      <c r="AG429" s="204">
        <v>0</v>
      </c>
    </row>
    <row r="430" spans="1:33" s="103" customFormat="1" ht="90" customHeight="1">
      <c r="A430" s="102">
        <f t="shared" si="67"/>
        <v>409</v>
      </c>
      <c r="B430" s="52"/>
      <c r="C430" s="51" t="s">
        <v>870</v>
      </c>
      <c r="D430" s="35" t="s">
        <v>73</v>
      </c>
      <c r="E430" s="35">
        <v>800022228</v>
      </c>
      <c r="F430" s="36" t="s">
        <v>227</v>
      </c>
      <c r="G430" s="35" t="s">
        <v>48</v>
      </c>
      <c r="H430" s="51" t="s">
        <v>97</v>
      </c>
      <c r="I430" s="34" t="s">
        <v>297</v>
      </c>
      <c r="J430" s="52" t="s">
        <v>99</v>
      </c>
      <c r="K430" s="52"/>
      <c r="L430" s="51" t="s">
        <v>61</v>
      </c>
      <c r="M430" s="51" t="s">
        <v>6</v>
      </c>
      <c r="N430" s="36" t="s">
        <v>181</v>
      </c>
      <c r="O430" s="51"/>
      <c r="P430" s="51" t="s">
        <v>856</v>
      </c>
      <c r="Q430" s="37">
        <v>42522</v>
      </c>
      <c r="R430" s="37">
        <v>42766</v>
      </c>
      <c r="S430" s="35" t="s">
        <v>96</v>
      </c>
      <c r="T430" s="38">
        <v>300000</v>
      </c>
      <c r="U430" s="39"/>
      <c r="V430" s="131"/>
      <c r="W430" s="38">
        <v>0</v>
      </c>
      <c r="X430" s="38">
        <v>0</v>
      </c>
      <c r="Y430" s="132">
        <v>300000</v>
      </c>
      <c r="Z430" s="38">
        <v>0</v>
      </c>
      <c r="AA430" s="91">
        <v>0</v>
      </c>
      <c r="AB430" s="91">
        <v>0</v>
      </c>
      <c r="AC430" s="91">
        <v>0</v>
      </c>
      <c r="AD430" s="91">
        <v>0</v>
      </c>
      <c r="AE430" s="91">
        <v>0</v>
      </c>
      <c r="AF430" s="91">
        <v>0</v>
      </c>
      <c r="AG430" s="204">
        <v>0</v>
      </c>
    </row>
    <row r="431" spans="1:33" s="103" customFormat="1" ht="90" customHeight="1">
      <c r="A431" s="102">
        <f t="shared" si="67"/>
        <v>410</v>
      </c>
      <c r="B431" s="52"/>
      <c r="C431" s="51" t="s">
        <v>871</v>
      </c>
      <c r="D431" s="35" t="s">
        <v>73</v>
      </c>
      <c r="E431" s="35">
        <v>800000075</v>
      </c>
      <c r="F431" s="36" t="s">
        <v>227</v>
      </c>
      <c r="G431" s="35" t="s">
        <v>48</v>
      </c>
      <c r="H431" s="51" t="s">
        <v>97</v>
      </c>
      <c r="I431" s="34" t="s">
        <v>547</v>
      </c>
      <c r="J431" s="52" t="s">
        <v>164</v>
      </c>
      <c r="K431" s="52"/>
      <c r="L431" s="51" t="s">
        <v>61</v>
      </c>
      <c r="M431" s="51" t="s">
        <v>6</v>
      </c>
      <c r="N431" s="36" t="s">
        <v>181</v>
      </c>
      <c r="O431" s="51"/>
      <c r="P431" s="51" t="s">
        <v>856</v>
      </c>
      <c r="Q431" s="37">
        <v>42522</v>
      </c>
      <c r="R431" s="37">
        <v>42766</v>
      </c>
      <c r="S431" s="35" t="s">
        <v>96</v>
      </c>
      <c r="T431" s="38">
        <v>300000</v>
      </c>
      <c r="U431" s="39"/>
      <c r="V431" s="131"/>
      <c r="W431" s="38">
        <v>0</v>
      </c>
      <c r="X431" s="38">
        <v>0</v>
      </c>
      <c r="Y431" s="132">
        <v>300000</v>
      </c>
      <c r="Z431" s="38">
        <v>0</v>
      </c>
      <c r="AA431" s="91">
        <v>0</v>
      </c>
      <c r="AB431" s="91">
        <v>0</v>
      </c>
      <c r="AC431" s="91">
        <v>0</v>
      </c>
      <c r="AD431" s="91">
        <v>0</v>
      </c>
      <c r="AE431" s="91">
        <v>0</v>
      </c>
      <c r="AF431" s="91">
        <v>0</v>
      </c>
      <c r="AG431" s="204">
        <v>0</v>
      </c>
    </row>
    <row r="432" spans="1:33" s="103" customFormat="1" ht="90" customHeight="1">
      <c r="A432" s="102">
        <f t="shared" si="67"/>
        <v>411</v>
      </c>
      <c r="B432" s="52"/>
      <c r="C432" s="51" t="s">
        <v>872</v>
      </c>
      <c r="D432" s="35" t="s">
        <v>73</v>
      </c>
      <c r="E432" s="35">
        <v>800008730</v>
      </c>
      <c r="F432" s="36" t="s">
        <v>227</v>
      </c>
      <c r="G432" s="35" t="s">
        <v>48</v>
      </c>
      <c r="H432" s="51" t="s">
        <v>97</v>
      </c>
      <c r="I432" s="34" t="s">
        <v>305</v>
      </c>
      <c r="J432" s="52" t="s">
        <v>147</v>
      </c>
      <c r="K432" s="52" t="s">
        <v>60</v>
      </c>
      <c r="L432" s="51" t="s">
        <v>61</v>
      </c>
      <c r="M432" s="51" t="s">
        <v>6</v>
      </c>
      <c r="N432" s="36" t="s">
        <v>181</v>
      </c>
      <c r="O432" s="51"/>
      <c r="P432" s="51" t="s">
        <v>851</v>
      </c>
      <c r="Q432" s="37">
        <v>42522</v>
      </c>
      <c r="R432" s="37">
        <v>42766</v>
      </c>
      <c r="S432" s="35" t="s">
        <v>96</v>
      </c>
      <c r="T432" s="38">
        <v>300000</v>
      </c>
      <c r="U432" s="39"/>
      <c r="V432" s="131"/>
      <c r="W432" s="38">
        <v>0</v>
      </c>
      <c r="X432" s="38">
        <v>0</v>
      </c>
      <c r="Y432" s="132">
        <v>300000</v>
      </c>
      <c r="Z432" s="38">
        <v>0</v>
      </c>
      <c r="AA432" s="91">
        <v>0</v>
      </c>
      <c r="AB432" s="91">
        <v>0</v>
      </c>
      <c r="AC432" s="91">
        <v>0</v>
      </c>
      <c r="AD432" s="91">
        <v>0</v>
      </c>
      <c r="AE432" s="91">
        <v>0</v>
      </c>
      <c r="AF432" s="91">
        <v>0</v>
      </c>
      <c r="AG432" s="204">
        <v>0</v>
      </c>
    </row>
    <row r="433" spans="1:33" s="103" customFormat="1" ht="90" customHeight="1">
      <c r="A433" s="102">
        <f t="shared" si="67"/>
        <v>412</v>
      </c>
      <c r="B433" s="52"/>
      <c r="C433" s="51" t="s">
        <v>873</v>
      </c>
      <c r="D433" s="35" t="s">
        <v>338</v>
      </c>
      <c r="E433" s="35" t="s">
        <v>339</v>
      </c>
      <c r="F433" s="36" t="s">
        <v>47</v>
      </c>
      <c r="G433" s="35" t="s">
        <v>48</v>
      </c>
      <c r="H433" s="51" t="s">
        <v>46</v>
      </c>
      <c r="I433" s="34" t="s">
        <v>46</v>
      </c>
      <c r="J433" s="52" t="s">
        <v>46</v>
      </c>
      <c r="K433" s="52"/>
      <c r="L433" s="51" t="s">
        <v>172</v>
      </c>
      <c r="M433" s="51" t="s">
        <v>176</v>
      </c>
      <c r="N433" s="36" t="s">
        <v>874</v>
      </c>
      <c r="O433" s="51"/>
      <c r="P433" s="51" t="s">
        <v>875</v>
      </c>
      <c r="Q433" s="37">
        <v>41730</v>
      </c>
      <c r="R433" s="37">
        <v>42094</v>
      </c>
      <c r="S433" s="35" t="s">
        <v>96</v>
      </c>
      <c r="T433" s="38">
        <v>0</v>
      </c>
      <c r="U433" s="39"/>
      <c r="V433" s="131">
        <v>0</v>
      </c>
      <c r="W433" s="38">
        <v>0</v>
      </c>
      <c r="X433" s="38">
        <v>0</v>
      </c>
      <c r="Y433" s="132">
        <v>0</v>
      </c>
      <c r="Z433" s="38">
        <v>0</v>
      </c>
      <c r="AA433" s="91"/>
      <c r="AB433" s="91"/>
      <c r="AC433" s="91"/>
      <c r="AD433" s="91"/>
      <c r="AE433" s="91"/>
      <c r="AF433" s="91"/>
      <c r="AG433" s="204"/>
    </row>
    <row r="434" spans="1:33" s="103" customFormat="1" ht="90" customHeight="1">
      <c r="A434" s="102">
        <f t="shared" si="67"/>
        <v>413</v>
      </c>
      <c r="B434" s="52"/>
      <c r="C434" s="51" t="s">
        <v>1052</v>
      </c>
      <c r="D434" s="35" t="s">
        <v>1067</v>
      </c>
      <c r="E434" s="35">
        <v>800024950</v>
      </c>
      <c r="F434" s="36"/>
      <c r="G434" s="35" t="s">
        <v>48</v>
      </c>
      <c r="H434" s="51" t="s">
        <v>97</v>
      </c>
      <c r="I434" s="34" t="s">
        <v>1070</v>
      </c>
      <c r="J434" s="52" t="s">
        <v>147</v>
      </c>
      <c r="K434" s="52" t="s">
        <v>60</v>
      </c>
      <c r="L434" s="51" t="s">
        <v>49</v>
      </c>
      <c r="M434" s="51" t="s">
        <v>100</v>
      </c>
      <c r="N434" s="36"/>
      <c r="O434" s="51"/>
      <c r="P434" s="51" t="s">
        <v>1078</v>
      </c>
      <c r="Q434" s="37"/>
      <c r="R434" s="37"/>
      <c r="S434" s="35" t="s">
        <v>96</v>
      </c>
      <c r="T434" s="38">
        <f>+(16*((1141850+1714473+2097122)/9+25000)+3658606+1293526+1350713+20*(1022001/14)+1350000+600000+350000+4298671+929210+1050000+150000)*1.23*1.07</f>
        <v>33819626.75007619</v>
      </c>
      <c r="U434" s="39"/>
      <c r="V434" s="131"/>
      <c r="W434" s="38">
        <v>0</v>
      </c>
      <c r="X434" s="38">
        <v>0</v>
      </c>
      <c r="Y434" s="38">
        <v>0</v>
      </c>
      <c r="Z434" s="38">
        <f>+T434*0.235*0.3</f>
        <v>2384283.6858803714</v>
      </c>
      <c r="AA434" s="91">
        <f>+T434-Z434-AB434</f>
        <v>29406165.459191248</v>
      </c>
      <c r="AB434" s="91">
        <f>+T434*0.06</f>
        <v>2029177.6050045714</v>
      </c>
      <c r="AC434" s="91">
        <v>0</v>
      </c>
      <c r="AD434" s="91">
        <f>+T434*0.01</f>
        <v>338196.2675007619</v>
      </c>
      <c r="AE434" s="91">
        <v>0</v>
      </c>
      <c r="AF434" s="91">
        <f>+AD434*1.15</f>
        <v>388925.70762587612</v>
      </c>
      <c r="AG434" s="204">
        <v>0</v>
      </c>
    </row>
    <row r="435" spans="1:33" s="103" customFormat="1" ht="90" customHeight="1">
      <c r="A435" s="102">
        <f t="shared" si="67"/>
        <v>414</v>
      </c>
      <c r="B435" s="52"/>
      <c r="C435" s="51" t="s">
        <v>1053</v>
      </c>
      <c r="D435" s="35" t="s">
        <v>1067</v>
      </c>
      <c r="E435" s="35">
        <v>800001388</v>
      </c>
      <c r="F435" s="36"/>
      <c r="G435" s="35" t="s">
        <v>48</v>
      </c>
      <c r="H435" s="51" t="s">
        <v>97</v>
      </c>
      <c r="I435" s="34" t="s">
        <v>547</v>
      </c>
      <c r="J435" s="52" t="s">
        <v>548</v>
      </c>
      <c r="K435" s="52"/>
      <c r="L435" s="51" t="s">
        <v>49</v>
      </c>
      <c r="M435" s="51" t="s">
        <v>100</v>
      </c>
      <c r="N435" s="36"/>
      <c r="O435" s="51"/>
      <c r="P435" s="51" t="s">
        <v>1079</v>
      </c>
      <c r="Q435" s="37"/>
      <c r="R435" s="37"/>
      <c r="S435" s="35" t="s">
        <v>96</v>
      </c>
      <c r="T435" s="38">
        <f>+(1823640+18*((1141850+1714473+2097122)/9)+24*25000+3658606+1293526+1350713+36*(1022001/14)+1350000+600000+350000+4298671+929210+1050000+150000)*1.23*1.07</f>
        <v>39468863.205857143</v>
      </c>
      <c r="U435" s="39"/>
      <c r="V435" s="131"/>
      <c r="W435" s="38">
        <v>0</v>
      </c>
      <c r="X435" s="38">
        <v>0</v>
      </c>
      <c r="Y435" s="38">
        <v>0</v>
      </c>
      <c r="Z435" s="38">
        <f>+T435*0.235*0.3</f>
        <v>2782554.8560129283</v>
      </c>
      <c r="AA435" s="91">
        <f>+T435-Z435-AB435</f>
        <v>34318176.557492793</v>
      </c>
      <c r="AB435" s="91">
        <f>+T435*0.06</f>
        <v>2368131.7923514284</v>
      </c>
      <c r="AC435" s="91">
        <v>0</v>
      </c>
      <c r="AD435" s="91">
        <f>+T435*0.01</f>
        <v>394688.63205857144</v>
      </c>
      <c r="AE435" s="91">
        <v>0</v>
      </c>
      <c r="AF435" s="91">
        <f>+AD435*1.15</f>
        <v>453891.92686735711</v>
      </c>
      <c r="AG435" s="204">
        <v>0</v>
      </c>
    </row>
    <row r="436" spans="1:33" s="103" customFormat="1" ht="90" customHeight="1">
      <c r="A436" s="102">
        <f t="shared" si="67"/>
        <v>415</v>
      </c>
      <c r="B436" s="52"/>
      <c r="C436" s="51" t="s">
        <v>1054</v>
      </c>
      <c r="D436" s="35" t="s">
        <v>1068</v>
      </c>
      <c r="E436" s="35">
        <v>800015586</v>
      </c>
      <c r="F436" s="36"/>
      <c r="G436" s="35" t="s">
        <v>48</v>
      </c>
      <c r="H436" s="51" t="s">
        <v>97</v>
      </c>
      <c r="I436" s="34" t="s">
        <v>877</v>
      </c>
      <c r="J436" s="52" t="s">
        <v>1075</v>
      </c>
      <c r="K436" s="52"/>
      <c r="L436" s="51" t="s">
        <v>49</v>
      </c>
      <c r="M436" s="51" t="s">
        <v>100</v>
      </c>
      <c r="N436" s="36"/>
      <c r="O436" s="51"/>
      <c r="P436" s="51" t="s">
        <v>1080</v>
      </c>
      <c r="Q436" s="37"/>
      <c r="R436" s="37"/>
      <c r="S436" s="35" t="s">
        <v>96</v>
      </c>
      <c r="T436" s="38">
        <f>+(1823640+14*((1141850+1714473+2097122)/9)+17*25000+929210+1293526+1350713+12*(1022001/14)+1050000+150000)*1.23*1.07</f>
        <v>20535698.894652382</v>
      </c>
      <c r="U436" s="39"/>
      <c r="V436" s="131"/>
      <c r="W436" s="38">
        <v>0</v>
      </c>
      <c r="X436" s="38">
        <v>0</v>
      </c>
      <c r="Y436" s="38">
        <v>0</v>
      </c>
      <c r="Z436" s="38">
        <v>0</v>
      </c>
      <c r="AA436" s="91">
        <v>0</v>
      </c>
      <c r="AB436" s="91">
        <f>+T436*0.235*0.3</f>
        <v>1447766.7720729928</v>
      </c>
      <c r="AC436" s="91">
        <f>+T436-AB436-AD436</f>
        <v>17855790.188900247</v>
      </c>
      <c r="AD436" s="91">
        <f>+T436*0.06</f>
        <v>1232141.9336791427</v>
      </c>
      <c r="AE436" s="91">
        <v>0</v>
      </c>
      <c r="AF436" s="91">
        <f>+T436*0.01</f>
        <v>205356.98894652381</v>
      </c>
      <c r="AG436" s="204">
        <v>0</v>
      </c>
    </row>
    <row r="437" spans="1:33" s="103" customFormat="1" ht="90" customHeight="1">
      <c r="A437" s="102">
        <f t="shared" si="67"/>
        <v>416</v>
      </c>
      <c r="B437" s="52"/>
      <c r="C437" s="51" t="s">
        <v>1055</v>
      </c>
      <c r="D437" s="35" t="s">
        <v>1069</v>
      </c>
      <c r="E437" s="35">
        <v>80005876</v>
      </c>
      <c r="F437" s="36"/>
      <c r="G437" s="35" t="s">
        <v>48</v>
      </c>
      <c r="H437" s="51" t="s">
        <v>97</v>
      </c>
      <c r="I437" s="34" t="s">
        <v>1071</v>
      </c>
      <c r="J437" s="52" t="s">
        <v>1075</v>
      </c>
      <c r="K437" s="52"/>
      <c r="L437" s="51" t="s">
        <v>49</v>
      </c>
      <c r="M437" s="51" t="s">
        <v>100</v>
      </c>
      <c r="N437" s="36"/>
      <c r="O437" s="51"/>
      <c r="P437" s="51" t="s">
        <v>1081</v>
      </c>
      <c r="Q437" s="37"/>
      <c r="R437" s="37"/>
      <c r="S437" s="35" t="s">
        <v>96</v>
      </c>
      <c r="T437" s="38">
        <f>+(6*((1141850+1714473+2097122)/9)+7*25000)*1.23*1.07</f>
        <v>4576470.1429999992</v>
      </c>
      <c r="U437" s="39"/>
      <c r="V437" s="131"/>
      <c r="W437" s="38">
        <v>0</v>
      </c>
      <c r="X437" s="38">
        <v>0</v>
      </c>
      <c r="Y437" s="38">
        <v>0</v>
      </c>
      <c r="Z437" s="38">
        <f>+T437*0.235*0.03</f>
        <v>32264.114508149989</v>
      </c>
      <c r="AA437" s="91">
        <f>+T437-Z437</f>
        <v>4544206.0284918491</v>
      </c>
      <c r="AB437" s="91">
        <v>0</v>
      </c>
      <c r="AC437" s="91">
        <v>0</v>
      </c>
      <c r="AD437" s="91">
        <v>0</v>
      </c>
      <c r="AE437" s="91">
        <v>0</v>
      </c>
      <c r="AF437" s="91">
        <v>0</v>
      </c>
      <c r="AG437" s="204">
        <v>0</v>
      </c>
    </row>
    <row r="438" spans="1:33" s="103" customFormat="1" ht="90" customHeight="1">
      <c r="A438" s="102">
        <f t="shared" si="67"/>
        <v>417</v>
      </c>
      <c r="B438" s="52"/>
      <c r="C438" s="51" t="s">
        <v>1056</v>
      </c>
      <c r="D438" s="35" t="s">
        <v>1068</v>
      </c>
      <c r="E438" s="35">
        <v>800023390</v>
      </c>
      <c r="F438" s="36"/>
      <c r="G438" s="35" t="s">
        <v>48</v>
      </c>
      <c r="H438" s="51" t="s">
        <v>97</v>
      </c>
      <c r="I438" s="34" t="s">
        <v>1072</v>
      </c>
      <c r="J438" s="52" t="s">
        <v>1075</v>
      </c>
      <c r="K438" s="52"/>
      <c r="L438" s="51" t="s">
        <v>49</v>
      </c>
      <c r="M438" s="51" t="s">
        <v>100</v>
      </c>
      <c r="N438" s="36"/>
      <c r="O438" s="51"/>
      <c r="P438" s="51" t="s">
        <v>1082</v>
      </c>
      <c r="Q438" s="37"/>
      <c r="R438" s="37"/>
      <c r="S438" s="35" t="s">
        <v>96</v>
      </c>
      <c r="T438" s="38">
        <f>+(1823640+50000+929210+1350000+1293526+150000+1050000)*1.23*1.07</f>
        <v>8747295.4536000006</v>
      </c>
      <c r="U438" s="39"/>
      <c r="V438" s="131"/>
      <c r="W438" s="38">
        <v>0</v>
      </c>
      <c r="X438" s="38">
        <v>0</v>
      </c>
      <c r="Y438" s="38">
        <v>0</v>
      </c>
      <c r="Z438" s="38">
        <v>0</v>
      </c>
      <c r="AA438" s="91">
        <v>0</v>
      </c>
      <c r="AB438" s="91">
        <v>0</v>
      </c>
      <c r="AC438" s="91">
        <v>0</v>
      </c>
      <c r="AD438" s="91">
        <f>+T438*0.235*0.3</f>
        <v>616684.32947879995</v>
      </c>
      <c r="AE438" s="91">
        <f>+T438-AF438-AF438</f>
        <v>7697619.9991680011</v>
      </c>
      <c r="AF438" s="91">
        <f>+T438*0.06</f>
        <v>524837.72721599997</v>
      </c>
      <c r="AG438" s="204">
        <v>0</v>
      </c>
    </row>
    <row r="439" spans="1:33" s="103" customFormat="1" ht="90" customHeight="1">
      <c r="A439" s="102">
        <f t="shared" si="67"/>
        <v>418</v>
      </c>
      <c r="B439" s="52"/>
      <c r="C439" s="51" t="s">
        <v>1057</v>
      </c>
      <c r="D439" s="35" t="s">
        <v>1068</v>
      </c>
      <c r="E439" s="35">
        <v>800005769</v>
      </c>
      <c r="F439" s="36"/>
      <c r="G439" s="35" t="s">
        <v>48</v>
      </c>
      <c r="H439" s="51" t="s">
        <v>97</v>
      </c>
      <c r="I439" s="34" t="s">
        <v>553</v>
      </c>
      <c r="J439" s="52" t="s">
        <v>553</v>
      </c>
      <c r="K439" s="52"/>
      <c r="L439" s="51" t="s">
        <v>49</v>
      </c>
      <c r="M439" s="51" t="s">
        <v>100</v>
      </c>
      <c r="N439" s="36"/>
      <c r="O439" s="51"/>
      <c r="P439" s="51" t="s">
        <v>1083</v>
      </c>
      <c r="Q439" s="37"/>
      <c r="R439" s="37"/>
      <c r="S439" s="35" t="s">
        <v>96</v>
      </c>
      <c r="T439" s="38">
        <f>+(8*((1141850+1714473+2097122)/9)+8*25000)*1.23*1.07</f>
        <v>6058090.1906666672</v>
      </c>
      <c r="U439" s="39"/>
      <c r="V439" s="131"/>
      <c r="W439" s="38">
        <v>0</v>
      </c>
      <c r="X439" s="38">
        <v>0</v>
      </c>
      <c r="Y439" s="38">
        <v>0</v>
      </c>
      <c r="Z439" s="38">
        <v>0</v>
      </c>
      <c r="AA439" s="91">
        <f>+T439*0.235*0.3</f>
        <v>427095.35844200006</v>
      </c>
      <c r="AB439" s="91">
        <f>+T439-AA439-AC439</f>
        <v>5267509.4207846671</v>
      </c>
      <c r="AC439" s="91">
        <f>+T439*0.06</f>
        <v>363485.41144</v>
      </c>
      <c r="AD439" s="91">
        <v>0</v>
      </c>
      <c r="AE439" s="91">
        <f>+T439*0.01</f>
        <v>60580.901906666673</v>
      </c>
      <c r="AF439" s="91">
        <v>0</v>
      </c>
      <c r="AG439" s="204">
        <f>+AE439*1.15</f>
        <v>69668.03719266667</v>
      </c>
    </row>
    <row r="440" spans="1:33" s="103" customFormat="1" ht="90" customHeight="1">
      <c r="A440" s="102">
        <f t="shared" si="67"/>
        <v>419</v>
      </c>
      <c r="B440" s="52"/>
      <c r="C440" s="51" t="s">
        <v>1058</v>
      </c>
      <c r="D440" s="35" t="s">
        <v>1068</v>
      </c>
      <c r="E440" s="35">
        <v>800004597</v>
      </c>
      <c r="F440" s="36"/>
      <c r="G440" s="35" t="s">
        <v>48</v>
      </c>
      <c r="H440" s="51" t="s">
        <v>97</v>
      </c>
      <c r="I440" s="34" t="s">
        <v>214</v>
      </c>
      <c r="J440" s="52" t="s">
        <v>169</v>
      </c>
      <c r="K440" s="52" t="s">
        <v>60</v>
      </c>
      <c r="L440" s="51" t="s">
        <v>49</v>
      </c>
      <c r="M440" s="51" t="s">
        <v>100</v>
      </c>
      <c r="N440" s="36"/>
      <c r="O440" s="51"/>
      <c r="P440" s="51" t="s">
        <v>1084</v>
      </c>
      <c r="Q440" s="37"/>
      <c r="R440" s="37"/>
      <c r="S440" s="35" t="s">
        <v>96</v>
      </c>
      <c r="T440" s="38">
        <f>+(1823640+12*((1141850+1714473+2097122)/9)+3658606+1293526+1350713+18*(1022001/14)+1350000+600000+350000+929210+1050000+150000)*1.23*1.07</f>
        <v>26946212.567628574</v>
      </c>
      <c r="U440" s="39"/>
      <c r="V440" s="131"/>
      <c r="W440" s="38">
        <v>0</v>
      </c>
      <c r="X440" s="38">
        <v>0</v>
      </c>
      <c r="Y440" s="38">
        <v>0</v>
      </c>
      <c r="Z440" s="38">
        <v>0</v>
      </c>
      <c r="AA440" s="91">
        <f>+T440*0.235*0.3</f>
        <v>1899707.9860178141</v>
      </c>
      <c r="AB440" s="91">
        <f>+T440-AA440-AC440</f>
        <v>23429731.827553045</v>
      </c>
      <c r="AC440" s="91">
        <f>+T440*0.06</f>
        <v>1616772.7540577142</v>
      </c>
      <c r="AD440" s="91">
        <v>0</v>
      </c>
      <c r="AE440" s="91">
        <f>+T440*0.01</f>
        <v>269462.12567628577</v>
      </c>
      <c r="AF440" s="91">
        <v>0</v>
      </c>
      <c r="AG440" s="204">
        <f>+AE440*1.15</f>
        <v>309881.4445277286</v>
      </c>
    </row>
    <row r="441" spans="1:33" s="103" customFormat="1" ht="90" customHeight="1">
      <c r="A441" s="102">
        <f t="shared" si="67"/>
        <v>420</v>
      </c>
      <c r="B441" s="52"/>
      <c r="C441" s="51" t="s">
        <v>1059</v>
      </c>
      <c r="D441" s="35" t="s">
        <v>1067</v>
      </c>
      <c r="E441" s="35">
        <v>800022574</v>
      </c>
      <c r="F441" s="36"/>
      <c r="G441" s="35" t="s">
        <v>48</v>
      </c>
      <c r="H441" s="51" t="s">
        <v>97</v>
      </c>
      <c r="I441" s="34" t="s">
        <v>1073</v>
      </c>
      <c r="J441" s="52" t="s">
        <v>557</v>
      </c>
      <c r="K441" s="52" t="s">
        <v>60</v>
      </c>
      <c r="L441" s="51" t="s">
        <v>49</v>
      </c>
      <c r="M441" s="51" t="s">
        <v>100</v>
      </c>
      <c r="N441" s="36"/>
      <c r="O441" s="51"/>
      <c r="P441" s="51" t="s">
        <v>1245</v>
      </c>
      <c r="Q441" s="37"/>
      <c r="R441" s="37"/>
      <c r="S441" s="35" t="s">
        <v>96</v>
      </c>
      <c r="T441" s="38">
        <f>+(12*((1141850+1714473+2097122)/9)+12*25000+3658606+1293526+1350713+18*(1022001/14)+1350000+600000+350000+4298671+929210+1050000+150000)*1.23*1.07</f>
        <v>30598430.86672857</v>
      </c>
      <c r="U441" s="39"/>
      <c r="V441" s="131"/>
      <c r="W441" s="38">
        <v>0</v>
      </c>
      <c r="X441" s="38">
        <v>0</v>
      </c>
      <c r="Y441" s="38">
        <v>0</v>
      </c>
      <c r="Z441" s="38">
        <f>+T441*0.235*0.3</f>
        <v>2157189.3761043642</v>
      </c>
      <c r="AA441" s="91">
        <f>+T441-Z441-AB441</f>
        <v>26605335.638620488</v>
      </c>
      <c r="AB441" s="91">
        <f>+T441*0.06</f>
        <v>1835905.8520037141</v>
      </c>
      <c r="AC441" s="91">
        <v>0</v>
      </c>
      <c r="AD441" s="91">
        <f>+T441*0.01</f>
        <v>305984.30866728572</v>
      </c>
      <c r="AE441" s="91">
        <v>0</v>
      </c>
      <c r="AF441" s="91">
        <f>+AD441*1.15</f>
        <v>351881.95496737852</v>
      </c>
      <c r="AG441" s="204">
        <v>0</v>
      </c>
    </row>
    <row r="442" spans="1:33" s="103" customFormat="1" ht="90" customHeight="1">
      <c r="A442" s="102">
        <f t="shared" si="67"/>
        <v>421</v>
      </c>
      <c r="B442" s="52"/>
      <c r="C442" s="51" t="s">
        <v>552</v>
      </c>
      <c r="D442" s="35" t="s">
        <v>1068</v>
      </c>
      <c r="E442" s="35">
        <v>800009126</v>
      </c>
      <c r="F442" s="36"/>
      <c r="G442" s="35" t="s">
        <v>48</v>
      </c>
      <c r="H442" s="51" t="s">
        <v>97</v>
      </c>
      <c r="I442" s="34" t="s">
        <v>553</v>
      </c>
      <c r="J442" s="52" t="s">
        <v>553</v>
      </c>
      <c r="K442" s="52"/>
      <c r="L442" s="51" t="s">
        <v>49</v>
      </c>
      <c r="M442" s="51" t="s">
        <v>100</v>
      </c>
      <c r="N442" s="36"/>
      <c r="O442" s="51"/>
      <c r="P442" s="51" t="s">
        <v>554</v>
      </c>
      <c r="Q442" s="37"/>
      <c r="R442" s="37"/>
      <c r="S442" s="35" t="s">
        <v>96</v>
      </c>
      <c r="T442" s="38">
        <f t="shared" ref="T442" si="70">+(1823640+14*((1141850+1714473+2097122)/9)+17*25000+929210+1293526+1350713+12*(1022001/14)+1050000+150000)*1.23*1.07</f>
        <v>20535698.894652382</v>
      </c>
      <c r="U442" s="39"/>
      <c r="V442" s="131"/>
      <c r="W442" s="38">
        <v>0</v>
      </c>
      <c r="X442" s="38">
        <v>0</v>
      </c>
      <c r="Y442" s="38">
        <v>0</v>
      </c>
      <c r="Z442" s="38">
        <v>0</v>
      </c>
      <c r="AA442" s="91">
        <f>+T442*0.235*0.3</f>
        <v>1447766.7720729928</v>
      </c>
      <c r="AB442" s="91">
        <f>+T442-AA442-AC442</f>
        <v>17855790.188900247</v>
      </c>
      <c r="AC442" s="91">
        <f>+T442*0.06</f>
        <v>1232141.9336791427</v>
      </c>
      <c r="AD442" s="91">
        <v>0</v>
      </c>
      <c r="AE442" s="91">
        <f>+T442*0.01</f>
        <v>205356.98894652381</v>
      </c>
      <c r="AF442" s="91">
        <v>0</v>
      </c>
      <c r="AG442" s="204">
        <f>+AE442*1.15</f>
        <v>236160.53728850235</v>
      </c>
    </row>
    <row r="443" spans="1:33" s="103" customFormat="1" ht="90" customHeight="1">
      <c r="A443" s="102">
        <f t="shared" si="67"/>
        <v>422</v>
      </c>
      <c r="B443" s="52"/>
      <c r="C443" s="51" t="s">
        <v>1060</v>
      </c>
      <c r="D443" s="35" t="s">
        <v>1067</v>
      </c>
      <c r="E443" s="35">
        <v>800000935</v>
      </c>
      <c r="F443" s="36"/>
      <c r="G443" s="35" t="s">
        <v>48</v>
      </c>
      <c r="H443" s="51" t="s">
        <v>97</v>
      </c>
      <c r="I443" s="34" t="s">
        <v>1074</v>
      </c>
      <c r="J443" s="52" t="s">
        <v>147</v>
      </c>
      <c r="K443" s="52" t="s">
        <v>60</v>
      </c>
      <c r="L443" s="51" t="s">
        <v>49</v>
      </c>
      <c r="M443" s="51" t="s">
        <v>100</v>
      </c>
      <c r="N443" s="36"/>
      <c r="O443" s="51"/>
      <c r="P443" s="51" t="s">
        <v>1085</v>
      </c>
      <c r="Q443" s="37"/>
      <c r="R443" s="37"/>
      <c r="S443" s="35" t="s">
        <v>96</v>
      </c>
      <c r="T443" s="38">
        <f>+(1823640+12*((1141850+1714473+2097122)/9)+1293526+1350713+18*(1022001/14)+1350000+600000+350000+4298671+929210+1050000+150000)*1.23*1.07</f>
        <v>27788602.114128571</v>
      </c>
      <c r="U443" s="39"/>
      <c r="V443" s="131"/>
      <c r="W443" s="38">
        <v>0</v>
      </c>
      <c r="X443" s="38">
        <v>0</v>
      </c>
      <c r="Y443" s="38">
        <v>0</v>
      </c>
      <c r="Z443" s="38">
        <f>+T443*0.235*0.3</f>
        <v>1959096.4490460642</v>
      </c>
      <c r="AA443" s="91">
        <f>+T443-Z443-AB443</f>
        <v>23745360.506522864</v>
      </c>
      <c r="AB443" s="91">
        <f>+T443*0.075</f>
        <v>2084145.1585596427</v>
      </c>
      <c r="AC443" s="91">
        <v>0</v>
      </c>
      <c r="AD443" s="91">
        <f>+T443*0.01</f>
        <v>277886.02114128572</v>
      </c>
      <c r="AE443" s="91">
        <v>0</v>
      </c>
      <c r="AF443" s="91">
        <f>+AD443*1.15</f>
        <v>319568.92431247857</v>
      </c>
      <c r="AG443" s="204">
        <v>0</v>
      </c>
    </row>
    <row r="444" spans="1:33" s="103" customFormat="1" ht="90" customHeight="1">
      <c r="A444" s="102">
        <f t="shared" si="67"/>
        <v>423</v>
      </c>
      <c r="B444" s="52"/>
      <c r="C444" s="51" t="s">
        <v>1061</v>
      </c>
      <c r="D444" s="35" t="s">
        <v>1068</v>
      </c>
      <c r="E444" s="35">
        <v>80009290</v>
      </c>
      <c r="F444" s="36"/>
      <c r="G444" s="35" t="s">
        <v>48</v>
      </c>
      <c r="H444" s="51" t="s">
        <v>97</v>
      </c>
      <c r="I444" s="34" t="s">
        <v>563</v>
      </c>
      <c r="J444" s="52" t="s">
        <v>550</v>
      </c>
      <c r="K444" s="52"/>
      <c r="L444" s="51" t="s">
        <v>49</v>
      </c>
      <c r="M444" s="51" t="s">
        <v>100</v>
      </c>
      <c r="N444" s="36"/>
      <c r="O444" s="51"/>
      <c r="P444" s="51" t="s">
        <v>1086</v>
      </c>
      <c r="Q444" s="37"/>
      <c r="R444" s="37"/>
      <c r="S444" s="35" t="s">
        <v>96</v>
      </c>
      <c r="T444" s="38">
        <f>+(10*((1141850+1714473+2097122)/9)+11*25000+1247367+1050000)*1.23*1.07</f>
        <v>10629079.947033333</v>
      </c>
      <c r="U444" s="39"/>
      <c r="V444" s="131"/>
      <c r="W444" s="38">
        <v>0</v>
      </c>
      <c r="X444" s="38">
        <v>0</v>
      </c>
      <c r="Y444" s="38">
        <v>0</v>
      </c>
      <c r="Z444" s="38">
        <v>0</v>
      </c>
      <c r="AA444" s="91">
        <f>+T444*0.235*0.3</f>
        <v>749350.13626584993</v>
      </c>
      <c r="AB444" s="91">
        <f>+T444-AA444-AC444</f>
        <v>9241985.0139454827</v>
      </c>
      <c r="AC444" s="91">
        <f>+T444*0.06</f>
        <v>637744.79682199995</v>
      </c>
      <c r="AD444" s="91">
        <v>0</v>
      </c>
      <c r="AE444" s="91">
        <f>+T444*0.01</f>
        <v>106290.79947033332</v>
      </c>
      <c r="AF444" s="91">
        <v>0</v>
      </c>
      <c r="AG444" s="204">
        <f>+AE444*1.15</f>
        <v>122234.41939088331</v>
      </c>
    </row>
    <row r="445" spans="1:33" s="103" customFormat="1" ht="90" customHeight="1">
      <c r="A445" s="102">
        <f t="shared" si="67"/>
        <v>424</v>
      </c>
      <c r="B445" s="52"/>
      <c r="C445" s="51" t="s">
        <v>1062</v>
      </c>
      <c r="D445" s="35" t="s">
        <v>1067</v>
      </c>
      <c r="E445" s="35">
        <v>800009332</v>
      </c>
      <c r="F445" s="36"/>
      <c r="G445" s="35" t="s">
        <v>48</v>
      </c>
      <c r="H445" s="51" t="s">
        <v>97</v>
      </c>
      <c r="I445" s="34" t="s">
        <v>354</v>
      </c>
      <c r="J445" s="52" t="s">
        <v>550</v>
      </c>
      <c r="K445" s="52"/>
      <c r="L445" s="51" t="s">
        <v>49</v>
      </c>
      <c r="M445" s="51" t="s">
        <v>100</v>
      </c>
      <c r="N445" s="36"/>
      <c r="O445" s="51"/>
      <c r="P445" s="51" t="s">
        <v>1087</v>
      </c>
      <c r="Q445" s="37"/>
      <c r="R445" s="37"/>
      <c r="S445" s="35" t="s">
        <v>96</v>
      </c>
      <c r="T445" s="38">
        <f>+(8*((1141850+1714473+2097122)/9)+12*25000+150000)*1.23*1.07</f>
        <v>6387115.1906666672</v>
      </c>
      <c r="U445" s="39"/>
      <c r="V445" s="131"/>
      <c r="W445" s="38">
        <v>0</v>
      </c>
      <c r="X445" s="38">
        <v>0</v>
      </c>
      <c r="Y445" s="38">
        <v>0</v>
      </c>
      <c r="Z445" s="38">
        <v>0</v>
      </c>
      <c r="AA445" s="91">
        <f>+T445*0.235*0.3</f>
        <v>450291.62094200001</v>
      </c>
      <c r="AB445" s="91">
        <f>+T445-AA445-AC445</f>
        <v>5553596.6582846669</v>
      </c>
      <c r="AC445" s="91">
        <f>+T445*0.06</f>
        <v>383226.91144</v>
      </c>
      <c r="AD445" s="91">
        <v>0</v>
      </c>
      <c r="AE445" s="91">
        <f>+T445*0.01</f>
        <v>63871.151906666673</v>
      </c>
      <c r="AF445" s="91">
        <v>0</v>
      </c>
      <c r="AG445" s="204">
        <f>+AE445*1.15</f>
        <v>73451.824692666662</v>
      </c>
    </row>
    <row r="446" spans="1:33" s="103" customFormat="1" ht="90" customHeight="1">
      <c r="A446" s="102">
        <f t="shared" si="67"/>
        <v>425</v>
      </c>
      <c r="B446" s="52"/>
      <c r="C446" s="51" t="s">
        <v>1063</v>
      </c>
      <c r="D446" s="35" t="s">
        <v>1067</v>
      </c>
      <c r="E446" s="35">
        <v>800023655</v>
      </c>
      <c r="F446" s="36"/>
      <c r="G446" s="35" t="s">
        <v>48</v>
      </c>
      <c r="H446" s="51" t="s">
        <v>97</v>
      </c>
      <c r="I446" s="34" t="s">
        <v>881</v>
      </c>
      <c r="J446" s="52" t="s">
        <v>147</v>
      </c>
      <c r="K446" s="52" t="s">
        <v>60</v>
      </c>
      <c r="L446" s="51" t="s">
        <v>49</v>
      </c>
      <c r="M446" s="51" t="s">
        <v>100</v>
      </c>
      <c r="N446" s="36"/>
      <c r="O446" s="51"/>
      <c r="P446" s="51" t="s">
        <v>1088</v>
      </c>
      <c r="Q446" s="37"/>
      <c r="R446" s="37"/>
      <c r="S446" s="35" t="s">
        <v>96</v>
      </c>
      <c r="T446" s="38">
        <f>+(1823640+18*5000+1293526+929210+24*(1022001/14))*1.23*1.07</f>
        <v>7749693.9097714294</v>
      </c>
      <c r="U446" s="39"/>
      <c r="V446" s="131"/>
      <c r="W446" s="38">
        <v>0</v>
      </c>
      <c r="X446" s="38">
        <v>0</v>
      </c>
      <c r="Y446" s="38">
        <v>0</v>
      </c>
      <c r="Z446" s="38">
        <f>+T446*0.235*0.3</f>
        <v>546353.4206388857</v>
      </c>
      <c r="AA446" s="91">
        <f>+T446-Z446-AB446</f>
        <v>6738358.8545462582</v>
      </c>
      <c r="AB446" s="91">
        <f>+T446*0.06</f>
        <v>464981.63458628574</v>
      </c>
      <c r="AC446" s="91">
        <v>0</v>
      </c>
      <c r="AD446" s="91">
        <f>+T446*0.01</f>
        <v>77496.93909771429</v>
      </c>
      <c r="AE446" s="91">
        <v>0</v>
      </c>
      <c r="AF446" s="91">
        <f>+AD446*1.15</f>
        <v>89121.479962371421</v>
      </c>
      <c r="AG446" s="204">
        <v>0</v>
      </c>
    </row>
    <row r="447" spans="1:33" s="103" customFormat="1" ht="90" customHeight="1">
      <c r="A447" s="102">
        <f t="shared" si="67"/>
        <v>426</v>
      </c>
      <c r="B447" s="52"/>
      <c r="C447" s="51" t="s">
        <v>1064</v>
      </c>
      <c r="D447" s="35" t="s">
        <v>65</v>
      </c>
      <c r="E447" s="35">
        <v>800019471</v>
      </c>
      <c r="F447" s="36"/>
      <c r="G447" s="35" t="s">
        <v>48</v>
      </c>
      <c r="H447" s="51" t="s">
        <v>97</v>
      </c>
      <c r="I447" s="34" t="s">
        <v>845</v>
      </c>
      <c r="J447" s="52" t="s">
        <v>550</v>
      </c>
      <c r="K447" s="52"/>
      <c r="L447" s="51" t="s">
        <v>49</v>
      </c>
      <c r="M447" s="51" t="s">
        <v>100</v>
      </c>
      <c r="N447" s="36"/>
      <c r="O447" s="51"/>
      <c r="P447" s="51" t="s">
        <v>1227</v>
      </c>
      <c r="Q447" s="37"/>
      <c r="R447" s="37"/>
      <c r="S447" s="35" t="s">
        <v>96</v>
      </c>
      <c r="T447" s="38">
        <f>+(10*((1141850+1714473+2097122)/9)+5*25000+36*190000+450000+5*270000)*1.23*1.07</f>
        <v>18779204.238333337</v>
      </c>
      <c r="U447" s="39"/>
      <c r="V447" s="131"/>
      <c r="W447" s="38">
        <v>0</v>
      </c>
      <c r="X447" s="38">
        <v>0</v>
      </c>
      <c r="Y447" s="38">
        <v>0</v>
      </c>
      <c r="Z447" s="38">
        <v>0</v>
      </c>
      <c r="AA447" s="91">
        <v>0</v>
      </c>
      <c r="AB447" s="91">
        <v>0</v>
      </c>
      <c r="AC447" s="91">
        <f>+T447*0.235*0.3</f>
        <v>1323933.8988025</v>
      </c>
      <c r="AD447" s="91">
        <f>+T447-AE447-AC447</f>
        <v>16328518.085230839</v>
      </c>
      <c r="AE447" s="91">
        <f>+T447*0.06</f>
        <v>1126752.2543000001</v>
      </c>
      <c r="AF447" s="91">
        <v>0</v>
      </c>
      <c r="AG447" s="204">
        <f>+T447*0.01</f>
        <v>187792.04238333338</v>
      </c>
    </row>
    <row r="448" spans="1:33" s="103" customFormat="1" ht="90" customHeight="1">
      <c r="A448" s="102">
        <f t="shared" si="67"/>
        <v>427</v>
      </c>
      <c r="B448" s="52"/>
      <c r="C448" s="51" t="s">
        <v>1065</v>
      </c>
      <c r="D448" s="35" t="s">
        <v>1068</v>
      </c>
      <c r="E448" s="35">
        <v>800009357</v>
      </c>
      <c r="F448" s="36"/>
      <c r="G448" s="35" t="s">
        <v>48</v>
      </c>
      <c r="H448" s="51" t="s">
        <v>97</v>
      </c>
      <c r="I448" s="34" t="s">
        <v>547</v>
      </c>
      <c r="J448" s="52" t="s">
        <v>550</v>
      </c>
      <c r="K448" s="52"/>
      <c r="L448" s="51" t="s">
        <v>49</v>
      </c>
      <c r="M448" s="51" t="s">
        <v>100</v>
      </c>
      <c r="N448" s="36"/>
      <c r="O448" s="51"/>
      <c r="P448" s="51" t="s">
        <v>1228</v>
      </c>
      <c r="Q448" s="37"/>
      <c r="R448" s="37"/>
      <c r="S448" s="35" t="s">
        <v>96</v>
      </c>
      <c r="T448" s="38">
        <f>+(2*((1141850+1714473+2097122)/9)+2*25000+21*190000+450000+4*270000+49*5000)*1.23*1.07</f>
        <v>9101839.047666667</v>
      </c>
      <c r="U448" s="39"/>
      <c r="V448" s="131"/>
      <c r="W448" s="38">
        <v>0</v>
      </c>
      <c r="X448" s="38">
        <v>0</v>
      </c>
      <c r="Y448" s="38">
        <v>0</v>
      </c>
      <c r="Z448" s="38">
        <v>0</v>
      </c>
      <c r="AA448" s="91">
        <f>+T448*0.235*0.3</f>
        <v>641679.65286050003</v>
      </c>
      <c r="AB448" s="91">
        <f>+T448-AA448-AC448</f>
        <v>7914049.0519461669</v>
      </c>
      <c r="AC448" s="91">
        <f>+T448*0.06</f>
        <v>546110.34285999998</v>
      </c>
      <c r="AD448" s="91">
        <v>0</v>
      </c>
      <c r="AE448" s="91">
        <f>+T448*0.01</f>
        <v>91018.390476666667</v>
      </c>
      <c r="AF448" s="91">
        <v>0</v>
      </c>
      <c r="AG448" s="204">
        <f>+AE448*1.15</f>
        <v>104671.14904816666</v>
      </c>
    </row>
    <row r="449" spans="1:33" s="103" customFormat="1" ht="90" customHeight="1">
      <c r="A449" s="102">
        <f t="shared" si="67"/>
        <v>428</v>
      </c>
      <c r="B449" s="52"/>
      <c r="C449" s="51" t="s">
        <v>1066</v>
      </c>
      <c r="D449" s="35" t="s">
        <v>1068</v>
      </c>
      <c r="E449" s="35">
        <v>80008979</v>
      </c>
      <c r="F449" s="36"/>
      <c r="G449" s="35" t="s">
        <v>48</v>
      </c>
      <c r="H449" s="51" t="s">
        <v>97</v>
      </c>
      <c r="I449" s="34" t="s">
        <v>563</v>
      </c>
      <c r="J449" s="52" t="s">
        <v>550</v>
      </c>
      <c r="K449" s="52"/>
      <c r="L449" s="51" t="s">
        <v>49</v>
      </c>
      <c r="M449" s="51" t="s">
        <v>100</v>
      </c>
      <c r="N449" s="36"/>
      <c r="O449" s="51"/>
      <c r="P449" s="51" t="s">
        <v>1089</v>
      </c>
      <c r="Q449" s="37"/>
      <c r="R449" s="37"/>
      <c r="S449" s="35" t="s">
        <v>96</v>
      </c>
      <c r="T449" s="38">
        <f>+(3*((1141850+1714473+2097122)/9)+3*25000+50000+4298671+1000000)*1.23*1.07</f>
        <v>9311169.7246000003</v>
      </c>
      <c r="U449" s="39"/>
      <c r="V449" s="131"/>
      <c r="W449" s="38">
        <v>0</v>
      </c>
      <c r="X449" s="38">
        <v>0</v>
      </c>
      <c r="Y449" s="38">
        <v>0</v>
      </c>
      <c r="Z449" s="38">
        <v>0</v>
      </c>
      <c r="AA449" s="91">
        <f>+T449*0.235*0.3</f>
        <v>656437.46558429988</v>
      </c>
      <c r="AB449" s="91">
        <f>+T449-AA449-AC449</f>
        <v>8096062.0755396998</v>
      </c>
      <c r="AC449" s="91">
        <f>+T449*0.06</f>
        <v>558670.18347599998</v>
      </c>
      <c r="AD449" s="91">
        <v>0</v>
      </c>
      <c r="AE449" s="91">
        <f>+T449*0.01</f>
        <v>93111.697246000011</v>
      </c>
      <c r="AF449" s="91">
        <v>0</v>
      </c>
      <c r="AG449" s="204">
        <f>+AE449*1.15</f>
        <v>107078.4518329</v>
      </c>
    </row>
    <row r="450" spans="1:33" s="103" customFormat="1" ht="90" customHeight="1">
      <c r="A450" s="102">
        <f t="shared" si="67"/>
        <v>429</v>
      </c>
      <c r="B450" s="52"/>
      <c r="C450" s="51" t="s">
        <v>1237</v>
      </c>
      <c r="D450" s="35" t="s">
        <v>65</v>
      </c>
      <c r="E450" s="35">
        <v>800001701</v>
      </c>
      <c r="F450" s="36"/>
      <c r="G450" s="35" t="s">
        <v>48</v>
      </c>
      <c r="H450" s="51" t="s">
        <v>97</v>
      </c>
      <c r="I450" s="34" t="s">
        <v>1127</v>
      </c>
      <c r="J450" s="52" t="s">
        <v>882</v>
      </c>
      <c r="K450" s="52" t="s">
        <v>60</v>
      </c>
      <c r="L450" s="51" t="s">
        <v>61</v>
      </c>
      <c r="M450" s="51" t="s">
        <v>117</v>
      </c>
      <c r="N450" s="36" t="s">
        <v>50</v>
      </c>
      <c r="O450" s="51"/>
      <c r="P450" s="51" t="s">
        <v>1078</v>
      </c>
      <c r="Q450" s="37"/>
      <c r="R450" s="37"/>
      <c r="S450" s="35" t="s">
        <v>96</v>
      </c>
      <c r="T450" s="38">
        <f>+(16*((1141850+1714473+2097122)/9)+16*25000+3658606+1293526+1350713+20*1022001/14+1350000+600000+350000+4298671+929210+1050000+150000)*1.23*1.07</f>
        <v>33819626.75007619</v>
      </c>
      <c r="U450" s="39"/>
      <c r="V450" s="131"/>
      <c r="W450" s="38">
        <v>0</v>
      </c>
      <c r="X450" s="38">
        <v>0</v>
      </c>
      <c r="Y450" s="132">
        <f>+T450*0.235*0.3</f>
        <v>2384283.6858803714</v>
      </c>
      <c r="Z450" s="38">
        <f>+T450-Y450-AA450</f>
        <v>29067969.191690486</v>
      </c>
      <c r="AA450" s="91">
        <f>+T450*0.07</f>
        <v>2367373.8725053333</v>
      </c>
      <c r="AB450" s="91">
        <v>0</v>
      </c>
      <c r="AC450" s="91">
        <f>+T450*0.01</f>
        <v>338196.2675007619</v>
      </c>
      <c r="AD450" s="91">
        <v>0</v>
      </c>
      <c r="AE450" s="91">
        <f>+AC450*1.15</f>
        <v>388925.70762587612</v>
      </c>
      <c r="AF450" s="91">
        <v>0</v>
      </c>
      <c r="AG450" s="204">
        <f>+AE450*1.15</f>
        <v>447264.56376975751</v>
      </c>
    </row>
    <row r="451" spans="1:33" s="103" customFormat="1" ht="90" customHeight="1">
      <c r="A451" s="102">
        <f t="shared" si="67"/>
        <v>430</v>
      </c>
      <c r="B451" s="52"/>
      <c r="C451" s="51" t="s">
        <v>1090</v>
      </c>
      <c r="D451" s="35" t="s">
        <v>1069</v>
      </c>
      <c r="E451" s="35">
        <v>800028902</v>
      </c>
      <c r="F451" s="36"/>
      <c r="G451" s="35" t="s">
        <v>48</v>
      </c>
      <c r="H451" s="51" t="s">
        <v>97</v>
      </c>
      <c r="I451" s="34" t="s">
        <v>1128</v>
      </c>
      <c r="J451" s="52" t="s">
        <v>169</v>
      </c>
      <c r="K451" s="52" t="s">
        <v>60</v>
      </c>
      <c r="L451" s="51" t="s">
        <v>61</v>
      </c>
      <c r="M451" s="51" t="s">
        <v>117</v>
      </c>
      <c r="N451" s="36" t="s">
        <v>50</v>
      </c>
      <c r="O451" s="51"/>
      <c r="P451" s="51" t="s">
        <v>1138</v>
      </c>
      <c r="Q451" s="37"/>
      <c r="R451" s="37"/>
      <c r="S451" s="35" t="s">
        <v>96</v>
      </c>
      <c r="T451" s="38">
        <f>+(5*((1141850+1714473+2097122)/9)+10*1022001/14+929210+1000000)*1.23*1.07</f>
        <v>7121581.0902380962</v>
      </c>
      <c r="U451" s="39"/>
      <c r="V451" s="131"/>
      <c r="W451" s="38">
        <v>0</v>
      </c>
      <c r="X451" s="38">
        <v>0</v>
      </c>
      <c r="Y451" s="38">
        <v>0</v>
      </c>
      <c r="Z451" s="38">
        <v>0</v>
      </c>
      <c r="AA451" s="91">
        <f>+T451*0.235*0.3</f>
        <v>502071.46686178574</v>
      </c>
      <c r="AB451" s="91">
        <f>+T451-AA451</f>
        <v>6619509.6233763108</v>
      </c>
      <c r="AC451" s="91">
        <v>0</v>
      </c>
      <c r="AD451" s="91">
        <f>+T451*0.01</f>
        <v>71215.810902380967</v>
      </c>
      <c r="AE451" s="91">
        <v>0</v>
      </c>
      <c r="AF451" s="91">
        <f>+AD451*1.15</f>
        <v>81898.182537738103</v>
      </c>
      <c r="AG451" s="204">
        <v>0</v>
      </c>
    </row>
    <row r="452" spans="1:33" s="103" customFormat="1" ht="90" customHeight="1">
      <c r="A452" s="102">
        <f t="shared" si="67"/>
        <v>431</v>
      </c>
      <c r="B452" s="52"/>
      <c r="C452" s="51" t="s">
        <v>1091</v>
      </c>
      <c r="D452" s="35" t="s">
        <v>1067</v>
      </c>
      <c r="E452" s="35">
        <v>800021303</v>
      </c>
      <c r="F452" s="36"/>
      <c r="G452" s="35" t="s">
        <v>48</v>
      </c>
      <c r="H452" s="51" t="s">
        <v>97</v>
      </c>
      <c r="I452" s="34" t="s">
        <v>890</v>
      </c>
      <c r="J452" s="52" t="s">
        <v>882</v>
      </c>
      <c r="K452" s="52" t="s">
        <v>60</v>
      </c>
      <c r="L452" s="51" t="s">
        <v>61</v>
      </c>
      <c r="M452" s="51" t="s">
        <v>117</v>
      </c>
      <c r="N452" s="36" t="s">
        <v>50</v>
      </c>
      <c r="O452" s="51"/>
      <c r="P452" s="51" t="s">
        <v>1139</v>
      </c>
      <c r="Q452" s="37"/>
      <c r="R452" s="37"/>
      <c r="S452" s="35" t="s">
        <v>96</v>
      </c>
      <c r="T452" s="38">
        <f>+(1823640+5*((1141850+1714473+2097122)/9)+3658606+1293526+929210+4298671+1350000+12*1022001/14+750000+150000+1000000)*1.23*1.07</f>
        <v>24850031.310552381</v>
      </c>
      <c r="U452" s="39"/>
      <c r="V452" s="131"/>
      <c r="W452" s="38">
        <v>0</v>
      </c>
      <c r="X452" s="38">
        <v>0</v>
      </c>
      <c r="Y452" s="38">
        <v>0</v>
      </c>
      <c r="Z452" s="38">
        <f>+T452*0.235*0.3</f>
        <v>1751927.2073939426</v>
      </c>
      <c r="AA452" s="91">
        <f>+T452-Z452-AB452</f>
        <v>21607102.224525295</v>
      </c>
      <c r="AB452" s="91">
        <f>+T452*0.06</f>
        <v>1491001.8786331429</v>
      </c>
      <c r="AC452" s="91">
        <v>0</v>
      </c>
      <c r="AD452" s="91">
        <f>+T452*0.01</f>
        <v>248500.31310552382</v>
      </c>
      <c r="AE452" s="91">
        <v>0</v>
      </c>
      <c r="AF452" s="91">
        <f>+AD452*1.15</f>
        <v>285775.36007135239</v>
      </c>
      <c r="AG452" s="204">
        <v>0</v>
      </c>
    </row>
    <row r="453" spans="1:33" s="103" customFormat="1" ht="90" customHeight="1">
      <c r="A453" s="102">
        <f t="shared" si="67"/>
        <v>432</v>
      </c>
      <c r="B453" s="52"/>
      <c r="C453" s="51" t="s">
        <v>1092</v>
      </c>
      <c r="D453" s="35" t="s">
        <v>1067</v>
      </c>
      <c r="E453" s="35">
        <v>800002012</v>
      </c>
      <c r="F453" s="36"/>
      <c r="G453" s="35" t="s">
        <v>48</v>
      </c>
      <c r="H453" s="51" t="s">
        <v>97</v>
      </c>
      <c r="I453" s="34" t="s">
        <v>1129</v>
      </c>
      <c r="J453" s="52" t="s">
        <v>169</v>
      </c>
      <c r="K453" s="52" t="s">
        <v>60</v>
      </c>
      <c r="L453" s="51" t="s">
        <v>61</v>
      </c>
      <c r="M453" s="51" t="s">
        <v>117</v>
      </c>
      <c r="N453" s="36" t="s">
        <v>50</v>
      </c>
      <c r="O453" s="51"/>
      <c r="P453" s="51" t="s">
        <v>1140</v>
      </c>
      <c r="Q453" s="37"/>
      <c r="R453" s="37"/>
      <c r="S453" s="35" t="s">
        <v>96</v>
      </c>
      <c r="T453" s="38">
        <f>+(1823640+20*((1141850+1714473+2097122)/9)+3658606+1293526+929210+1350000+12*1022001/14+1050000+150000)*1.23*1.07</f>
        <v>29136662.014952384</v>
      </c>
      <c r="U453" s="39"/>
      <c r="V453" s="131"/>
      <c r="W453" s="38">
        <v>0</v>
      </c>
      <c r="X453" s="38">
        <v>0</v>
      </c>
      <c r="Y453" s="38">
        <v>0</v>
      </c>
      <c r="Z453" s="38">
        <f>+T453*0.235*0.3</f>
        <v>2054134.6720541427</v>
      </c>
      <c r="AA453" s="91">
        <f>+T453-Z453-AB453</f>
        <v>25334327.6220011</v>
      </c>
      <c r="AB453" s="91">
        <f>+T453*0.06</f>
        <v>1748199.720897143</v>
      </c>
      <c r="AC453" s="91">
        <v>0</v>
      </c>
      <c r="AD453" s="91">
        <f>+T453*0.01</f>
        <v>291366.62014952383</v>
      </c>
      <c r="AE453" s="91">
        <v>0</v>
      </c>
      <c r="AF453" s="91">
        <f>+AD453*1.15</f>
        <v>335071.61317195237</v>
      </c>
      <c r="AG453" s="204">
        <v>0</v>
      </c>
    </row>
    <row r="454" spans="1:33" s="103" customFormat="1" ht="90" customHeight="1">
      <c r="A454" s="102">
        <f t="shared" si="67"/>
        <v>433</v>
      </c>
      <c r="B454" s="52"/>
      <c r="C454" s="51" t="s">
        <v>1093</v>
      </c>
      <c r="D454" s="35" t="s">
        <v>1126</v>
      </c>
      <c r="E454" s="35">
        <v>800014449</v>
      </c>
      <c r="F454" s="36"/>
      <c r="G454" s="35" t="s">
        <v>48</v>
      </c>
      <c r="H454" s="51" t="s">
        <v>97</v>
      </c>
      <c r="I454" s="34" t="s">
        <v>1130</v>
      </c>
      <c r="J454" s="52" t="s">
        <v>99</v>
      </c>
      <c r="K454" s="52"/>
      <c r="L454" s="51" t="s">
        <v>61</v>
      </c>
      <c r="M454" s="51" t="s">
        <v>117</v>
      </c>
      <c r="N454" s="36" t="s">
        <v>50</v>
      </c>
      <c r="O454" s="51"/>
      <c r="P454" s="51" t="s">
        <v>1141</v>
      </c>
      <c r="Q454" s="37"/>
      <c r="R454" s="37"/>
      <c r="S454" s="35" t="s">
        <v>96</v>
      </c>
      <c r="T454" s="38">
        <f>+(1823640+5*((1141850+1714473+2097122)/9)+3658606+1293526+929210+1350000+12*1022001/14+750000+150000+1000000)*1.23*1.07</f>
        <v>19192550.407452378</v>
      </c>
      <c r="U454" s="39"/>
      <c r="V454" s="131"/>
      <c r="W454" s="38">
        <v>0</v>
      </c>
      <c r="X454" s="38">
        <v>0</v>
      </c>
      <c r="Y454" s="38">
        <v>0</v>
      </c>
      <c r="Z454" s="38">
        <v>0</v>
      </c>
      <c r="AA454" s="91">
        <f>+T454*0.235*0.3</f>
        <v>1353074.8037253926</v>
      </c>
      <c r="AB454" s="91">
        <f>+T454-AA454-AC454</f>
        <v>16687922.579279844</v>
      </c>
      <c r="AC454" s="91">
        <f>+T454*0.06</f>
        <v>1151553.0244471426</v>
      </c>
      <c r="AD454" s="91">
        <v>0</v>
      </c>
      <c r="AE454" s="91">
        <f>+T454*0.06</f>
        <v>1151553.0244471426</v>
      </c>
      <c r="AF454" s="91">
        <v>0</v>
      </c>
      <c r="AG454" s="204">
        <f>+AE454*1.15</f>
        <v>1324285.9781142138</v>
      </c>
    </row>
    <row r="455" spans="1:33" s="103" customFormat="1" ht="90" customHeight="1">
      <c r="A455" s="102">
        <f t="shared" si="67"/>
        <v>434</v>
      </c>
      <c r="B455" s="52"/>
      <c r="C455" s="51" t="s">
        <v>1094</v>
      </c>
      <c r="D455" s="35" t="s">
        <v>1068</v>
      </c>
      <c r="E455" s="35"/>
      <c r="F455" s="36"/>
      <c r="G455" s="35" t="s">
        <v>48</v>
      </c>
      <c r="H455" s="51" t="s">
        <v>97</v>
      </c>
      <c r="I455" s="34" t="s">
        <v>1131</v>
      </c>
      <c r="J455" s="52" t="s">
        <v>882</v>
      </c>
      <c r="K455" s="52" t="s">
        <v>60</v>
      </c>
      <c r="L455" s="51" t="s">
        <v>61</v>
      </c>
      <c r="M455" s="51" t="s">
        <v>117</v>
      </c>
      <c r="N455" s="36" t="s">
        <v>50</v>
      </c>
      <c r="O455" s="51"/>
      <c r="P455" s="51" t="s">
        <v>1142</v>
      </c>
      <c r="Q455" s="37"/>
      <c r="R455" s="37"/>
      <c r="S455" s="35" t="s">
        <v>96</v>
      </c>
      <c r="T455" s="38">
        <f>+(6*((1141850+1714473+2097122)/9)+3658606+1293526+929210+1247367+1350000+12*1022001/14+16*190000)*1.23*1.07</f>
        <v>20658830.285985712</v>
      </c>
      <c r="U455" s="39"/>
      <c r="V455" s="131"/>
      <c r="W455" s="38">
        <v>0</v>
      </c>
      <c r="X455" s="38">
        <v>0</v>
      </c>
      <c r="Y455" s="38">
        <v>0</v>
      </c>
      <c r="Z455" s="38">
        <f>+T455*0.235*0.3</f>
        <v>1456447.5351619928</v>
      </c>
      <c r="AA455" s="91">
        <f>+T455-Z455-AB455</f>
        <v>17962852.933664575</v>
      </c>
      <c r="AB455" s="91">
        <f>+T455*0.06</f>
        <v>1239529.8171591426</v>
      </c>
      <c r="AC455" s="91">
        <v>0</v>
      </c>
      <c r="AD455" s="91">
        <f>+T455*0.01</f>
        <v>206588.30285985713</v>
      </c>
      <c r="AE455" s="91">
        <v>0</v>
      </c>
      <c r="AF455" s="91">
        <f>+AD455*1.15</f>
        <v>237576.54828883568</v>
      </c>
      <c r="AG455" s="204">
        <v>0</v>
      </c>
    </row>
    <row r="456" spans="1:33" s="103" customFormat="1" ht="90" customHeight="1">
      <c r="A456" s="102">
        <f t="shared" si="67"/>
        <v>435</v>
      </c>
      <c r="B456" s="52"/>
      <c r="C456" s="51" t="s">
        <v>1095</v>
      </c>
      <c r="D456" s="35" t="s">
        <v>1069</v>
      </c>
      <c r="E456" s="35">
        <v>800003838</v>
      </c>
      <c r="F456" s="36"/>
      <c r="G456" s="35" t="s">
        <v>48</v>
      </c>
      <c r="H456" s="51" t="s">
        <v>97</v>
      </c>
      <c r="I456" s="34" t="s">
        <v>243</v>
      </c>
      <c r="J456" s="52" t="s">
        <v>882</v>
      </c>
      <c r="K456" s="52" t="s">
        <v>60</v>
      </c>
      <c r="L456" s="51" t="s">
        <v>61</v>
      </c>
      <c r="M456" s="51" t="s">
        <v>117</v>
      </c>
      <c r="N456" s="36" t="s">
        <v>50</v>
      </c>
      <c r="O456" s="51"/>
      <c r="P456" s="51" t="s">
        <v>1229</v>
      </c>
      <c r="Q456" s="37"/>
      <c r="R456" s="37"/>
      <c r="S456" s="35" t="s">
        <v>96</v>
      </c>
      <c r="T456" s="38">
        <f>+(8*((1141850+1714473+2097122)/9)+1247367+929210+1293526+1350000+12*1022001/14+1050000)*1.23*1.07</f>
        <v>14673417.477052381</v>
      </c>
      <c r="U456" s="39"/>
      <c r="V456" s="131"/>
      <c r="W456" s="38">
        <v>0</v>
      </c>
      <c r="X456" s="38">
        <v>0</v>
      </c>
      <c r="Y456" s="38">
        <v>0</v>
      </c>
      <c r="Z456" s="38">
        <v>0</v>
      </c>
      <c r="AA456" s="91">
        <f>+T456*0.235*0.3</f>
        <v>1034475.9321321929</v>
      </c>
      <c r="AB456" s="91">
        <f>+T456-AA456-AC456</f>
        <v>12758536.496297045</v>
      </c>
      <c r="AC456" s="91">
        <f>+T456*0.06</f>
        <v>880405.04862314288</v>
      </c>
      <c r="AD456" s="91">
        <v>0</v>
      </c>
      <c r="AE456" s="91">
        <f>+T456*0.01</f>
        <v>146734.17477052382</v>
      </c>
      <c r="AF456" s="91">
        <v>0</v>
      </c>
      <c r="AG456" s="204">
        <f>+AE456*1.15</f>
        <v>168744.30098610237</v>
      </c>
    </row>
    <row r="457" spans="1:33" s="103" customFormat="1" ht="90" customHeight="1">
      <c r="A457" s="102">
        <f t="shared" si="67"/>
        <v>436</v>
      </c>
      <c r="B457" s="52"/>
      <c r="C457" s="51" t="s">
        <v>1096</v>
      </c>
      <c r="D457" s="35" t="s">
        <v>1069</v>
      </c>
      <c r="E457" s="35">
        <v>800021386</v>
      </c>
      <c r="F457" s="36"/>
      <c r="G457" s="35" t="s">
        <v>48</v>
      </c>
      <c r="H457" s="51" t="s">
        <v>97</v>
      </c>
      <c r="I457" s="34" t="s">
        <v>887</v>
      </c>
      <c r="J457" s="52" t="s">
        <v>169</v>
      </c>
      <c r="K457" s="52" t="s">
        <v>60</v>
      </c>
      <c r="L457" s="51" t="s">
        <v>61</v>
      </c>
      <c r="M457" s="51" t="s">
        <v>117</v>
      </c>
      <c r="N457" s="36" t="s">
        <v>50</v>
      </c>
      <c r="O457" s="51"/>
      <c r="P457" s="51" t="s">
        <v>1250</v>
      </c>
      <c r="Q457" s="37"/>
      <c r="R457" s="37"/>
      <c r="S457" s="35" t="s">
        <v>96</v>
      </c>
      <c r="T457" s="38">
        <f>+(3658606+1293526+1350000+1247367+929210+1050000+150000+16*190000)*1.23*1.07</f>
        <v>16739092.914900001</v>
      </c>
      <c r="U457" s="39"/>
      <c r="V457" s="131"/>
      <c r="W457" s="38">
        <v>0</v>
      </c>
      <c r="X457" s="38">
        <v>0</v>
      </c>
      <c r="Y457" s="38">
        <v>0</v>
      </c>
      <c r="Z457" s="38">
        <v>0</v>
      </c>
      <c r="AA457" s="91">
        <v>0</v>
      </c>
      <c r="AB457" s="91">
        <v>0</v>
      </c>
      <c r="AC457" s="91">
        <f>+T457*0.235*0.3</f>
        <v>1180106.05050045</v>
      </c>
      <c r="AD457" s="91">
        <f>+T457-AC457-AE457</f>
        <v>14554641.289505551</v>
      </c>
      <c r="AE457" s="91">
        <f>+T457*0.06</f>
        <v>1004345.5748940001</v>
      </c>
      <c r="AF457" s="91">
        <v>0</v>
      </c>
      <c r="AG457" s="204">
        <f>+T457*0.01</f>
        <v>167390.929149</v>
      </c>
    </row>
    <row r="458" spans="1:33" s="103" customFormat="1" ht="90" customHeight="1">
      <c r="A458" s="102">
        <f t="shared" si="67"/>
        <v>437</v>
      </c>
      <c r="B458" s="52"/>
      <c r="C458" s="51" t="s">
        <v>1097</v>
      </c>
      <c r="D458" s="35" t="s">
        <v>1067</v>
      </c>
      <c r="E458" s="35">
        <v>800013045</v>
      </c>
      <c r="F458" s="36"/>
      <c r="G458" s="35" t="s">
        <v>48</v>
      </c>
      <c r="H458" s="51" t="s">
        <v>97</v>
      </c>
      <c r="I458" s="34" t="s">
        <v>1128</v>
      </c>
      <c r="J458" s="52" t="s">
        <v>169</v>
      </c>
      <c r="K458" s="52" t="s">
        <v>60</v>
      </c>
      <c r="L458" s="51" t="s">
        <v>61</v>
      </c>
      <c r="M458" s="51" t="s">
        <v>117</v>
      </c>
      <c r="N458" s="36" t="s">
        <v>50</v>
      </c>
      <c r="O458" s="51"/>
      <c r="P458" s="51" t="s">
        <v>1145</v>
      </c>
      <c r="Q458" s="37"/>
      <c r="R458" s="37"/>
      <c r="S458" s="35" t="s">
        <v>96</v>
      </c>
      <c r="T458" s="38">
        <f>+(3658606+1293526+1350713+929210+750000+150000+1823640)*1.23*1.07</f>
        <v>13102690.1895</v>
      </c>
      <c r="U458" s="39"/>
      <c r="V458" s="131"/>
      <c r="W458" s="38">
        <v>0</v>
      </c>
      <c r="X458" s="38">
        <v>0</v>
      </c>
      <c r="Y458" s="38">
        <v>0</v>
      </c>
      <c r="Z458" s="38">
        <v>0</v>
      </c>
      <c r="AA458" s="91">
        <f>+T458*0.235*0.3</f>
        <v>923739.65835975006</v>
      </c>
      <c r="AB458" s="91">
        <f>+T458-AA458-AC458</f>
        <v>11392789.119770251</v>
      </c>
      <c r="AC458" s="91">
        <f>+T458*0.06</f>
        <v>786161.41136999999</v>
      </c>
      <c r="AD458" s="91">
        <v>0</v>
      </c>
      <c r="AE458" s="91">
        <f>+T458*0.06</f>
        <v>786161.41136999999</v>
      </c>
      <c r="AF458" s="91">
        <v>0</v>
      </c>
      <c r="AG458" s="204">
        <f>+AE458*1.15</f>
        <v>904085.6230754999</v>
      </c>
    </row>
    <row r="459" spans="1:33" s="103" customFormat="1" ht="90" customHeight="1">
      <c r="A459" s="102">
        <f t="shared" si="67"/>
        <v>438</v>
      </c>
      <c r="B459" s="52"/>
      <c r="C459" s="51" t="s">
        <v>1098</v>
      </c>
      <c r="D459" s="35" t="s">
        <v>1068</v>
      </c>
      <c r="E459" s="35">
        <v>800022571</v>
      </c>
      <c r="F459" s="36"/>
      <c r="G459" s="35" t="s">
        <v>48</v>
      </c>
      <c r="H459" s="51" t="s">
        <v>97</v>
      </c>
      <c r="I459" s="34" t="s">
        <v>563</v>
      </c>
      <c r="J459" s="52" t="s">
        <v>550</v>
      </c>
      <c r="K459" s="52"/>
      <c r="L459" s="51" t="s">
        <v>61</v>
      </c>
      <c r="M459" s="51" t="s">
        <v>117</v>
      </c>
      <c r="N459" s="36" t="s">
        <v>50</v>
      </c>
      <c r="O459" s="51"/>
      <c r="P459" s="51" t="s">
        <v>1146</v>
      </c>
      <c r="Q459" s="37"/>
      <c r="R459" s="37"/>
      <c r="S459" s="35" t="s">
        <v>96</v>
      </c>
      <c r="T459" s="38">
        <f>+(3658606+1293526+1350713+929210+750000+150000+1823640)*1.23*1.07</f>
        <v>13102690.1895</v>
      </c>
      <c r="U459" s="39"/>
      <c r="V459" s="131"/>
      <c r="W459" s="38">
        <v>0</v>
      </c>
      <c r="X459" s="38">
        <v>0</v>
      </c>
      <c r="Y459" s="38">
        <v>0</v>
      </c>
      <c r="Z459" s="38">
        <v>0</v>
      </c>
      <c r="AA459" s="91">
        <v>0</v>
      </c>
      <c r="AB459" s="91">
        <v>0</v>
      </c>
      <c r="AC459" s="91">
        <v>0</v>
      </c>
      <c r="AD459" s="91">
        <f>+T459*0.235*0.3</f>
        <v>923739.65835975006</v>
      </c>
      <c r="AE459" s="91">
        <f>+T459-AD459-AF459</f>
        <v>11392789.119770251</v>
      </c>
      <c r="AF459" s="91">
        <f>+T459*0.06</f>
        <v>786161.41136999999</v>
      </c>
      <c r="AG459" s="204">
        <v>0</v>
      </c>
    </row>
    <row r="460" spans="1:33" s="103" customFormat="1" ht="90" customHeight="1">
      <c r="A460" s="102">
        <f t="shared" si="67"/>
        <v>439</v>
      </c>
      <c r="B460" s="52"/>
      <c r="C460" s="51" t="s">
        <v>1099</v>
      </c>
      <c r="D460" s="35" t="s">
        <v>1067</v>
      </c>
      <c r="E460" s="35">
        <v>800003169</v>
      </c>
      <c r="F460" s="36"/>
      <c r="G460" s="35" t="s">
        <v>48</v>
      </c>
      <c r="H460" s="51" t="s">
        <v>97</v>
      </c>
      <c r="I460" s="34" t="s">
        <v>887</v>
      </c>
      <c r="J460" s="52" t="s">
        <v>169</v>
      </c>
      <c r="K460" s="52" t="s">
        <v>60</v>
      </c>
      <c r="L460" s="51" t="s">
        <v>61</v>
      </c>
      <c r="M460" s="51" t="s">
        <v>117</v>
      </c>
      <c r="N460" s="36" t="s">
        <v>50</v>
      </c>
      <c r="O460" s="51"/>
      <c r="P460" s="51" t="s">
        <v>1147</v>
      </c>
      <c r="Q460" s="37"/>
      <c r="R460" s="37"/>
      <c r="S460" s="35" t="s">
        <v>96</v>
      </c>
      <c r="T460" s="38">
        <f>+(3658606+1350713+929210+1050000+150000+1823640+16*190000)*1.23*1.07</f>
        <v>15796054.6209</v>
      </c>
      <c r="U460" s="39"/>
      <c r="V460" s="131"/>
      <c r="W460" s="38">
        <v>0</v>
      </c>
      <c r="X460" s="38">
        <v>0</v>
      </c>
      <c r="Y460" s="38">
        <v>0</v>
      </c>
      <c r="Z460" s="38">
        <v>0</v>
      </c>
      <c r="AA460" s="91">
        <v>0</v>
      </c>
      <c r="AB460" s="91">
        <f>+T460*0.235*0.3</f>
        <v>1113621.85077345</v>
      </c>
      <c r="AC460" s="91">
        <f>+T460-AB460-AD460</f>
        <v>13734669.492872549</v>
      </c>
      <c r="AD460" s="91">
        <f>+T460*0.06</f>
        <v>947763.27725399996</v>
      </c>
      <c r="AE460" s="91">
        <v>0</v>
      </c>
      <c r="AF460" s="91">
        <f>+T460*0.01</f>
        <v>157960.54620899999</v>
      </c>
      <c r="AG460" s="204">
        <v>0</v>
      </c>
    </row>
    <row r="461" spans="1:33" s="103" customFormat="1" ht="90" customHeight="1">
      <c r="A461" s="102">
        <f t="shared" si="67"/>
        <v>440</v>
      </c>
      <c r="B461" s="52"/>
      <c r="C461" s="51" t="s">
        <v>1100</v>
      </c>
      <c r="D461" s="35" t="s">
        <v>1069</v>
      </c>
      <c r="E461" s="35">
        <v>800021899</v>
      </c>
      <c r="F461" s="36"/>
      <c r="G461" s="35" t="s">
        <v>48</v>
      </c>
      <c r="H461" s="51" t="s">
        <v>97</v>
      </c>
      <c r="I461" s="34" t="s">
        <v>323</v>
      </c>
      <c r="J461" s="52" t="s">
        <v>169</v>
      </c>
      <c r="K461" s="52" t="s">
        <v>60</v>
      </c>
      <c r="L461" s="51" t="s">
        <v>61</v>
      </c>
      <c r="M461" s="51" t="s">
        <v>117</v>
      </c>
      <c r="N461" s="36" t="s">
        <v>50</v>
      </c>
      <c r="O461" s="51"/>
      <c r="P461" s="51" t="s">
        <v>1148</v>
      </c>
      <c r="Q461" s="37"/>
      <c r="R461" s="37"/>
      <c r="S461" s="35" t="s">
        <v>96</v>
      </c>
      <c r="T461" s="38">
        <f>+((3658606*0.35+929210+1350713+150000+1050000)*1.07+16*190000)*1.23</f>
        <v>10004408.63511</v>
      </c>
      <c r="U461" s="39"/>
      <c r="V461" s="131"/>
      <c r="W461" s="38">
        <v>0</v>
      </c>
      <c r="X461" s="38">
        <v>0</v>
      </c>
      <c r="Y461" s="38">
        <v>0</v>
      </c>
      <c r="Z461" s="38">
        <v>0</v>
      </c>
      <c r="AA461" s="91">
        <v>0</v>
      </c>
      <c r="AB461" s="91">
        <f>+T461*0.235*0.3</f>
        <v>705310.80877525499</v>
      </c>
      <c r="AC461" s="91">
        <f>+T461-AB461-AD461</f>
        <v>8698833.3082281444</v>
      </c>
      <c r="AD461" s="91">
        <f>+T461*0.06</f>
        <v>600264.51810660004</v>
      </c>
      <c r="AE461" s="91">
        <v>0</v>
      </c>
      <c r="AF461" s="91">
        <f>+T461*0.01</f>
        <v>100044.08635110001</v>
      </c>
      <c r="AG461" s="204">
        <v>0</v>
      </c>
    </row>
    <row r="462" spans="1:33" s="103" customFormat="1" ht="90" customHeight="1">
      <c r="A462" s="102">
        <f t="shared" si="67"/>
        <v>441</v>
      </c>
      <c r="B462" s="52"/>
      <c r="C462" s="51" t="s">
        <v>1101</v>
      </c>
      <c r="D462" s="35" t="s">
        <v>1068</v>
      </c>
      <c r="E462" s="35">
        <v>800016345</v>
      </c>
      <c r="F462" s="36"/>
      <c r="G462" s="35" t="s">
        <v>48</v>
      </c>
      <c r="H462" s="51" t="s">
        <v>97</v>
      </c>
      <c r="I462" s="34" t="s">
        <v>1132</v>
      </c>
      <c r="J462" s="52" t="s">
        <v>882</v>
      </c>
      <c r="K462" s="52" t="s">
        <v>60</v>
      </c>
      <c r="L462" s="51" t="s">
        <v>61</v>
      </c>
      <c r="M462" s="51" t="s">
        <v>117</v>
      </c>
      <c r="N462" s="36" t="s">
        <v>50</v>
      </c>
      <c r="O462" s="51"/>
      <c r="P462" s="51" t="s">
        <v>1149</v>
      </c>
      <c r="Q462" s="37"/>
      <c r="R462" s="37"/>
      <c r="S462" s="35" t="s">
        <v>96</v>
      </c>
      <c r="T462" s="38">
        <f>+((1823640+1293526+929210+1350000+12*1022001/14)*1.07+16*190000+450000)*1.23</f>
        <v>12547775.181685714</v>
      </c>
      <c r="U462" s="39"/>
      <c r="V462" s="131"/>
      <c r="W462" s="38">
        <v>0</v>
      </c>
      <c r="X462" s="38">
        <v>0</v>
      </c>
      <c r="Y462" s="38">
        <v>0</v>
      </c>
      <c r="Z462" s="38">
        <v>0</v>
      </c>
      <c r="AA462" s="91">
        <f>+T462*0.235*0.3</f>
        <v>884618.15030884277</v>
      </c>
      <c r="AB462" s="91">
        <f>+T462-AA462-AC462</f>
        <v>10910290.52047573</v>
      </c>
      <c r="AC462" s="91">
        <f>+T462*0.06</f>
        <v>752866.51090114284</v>
      </c>
      <c r="AD462" s="91">
        <v>0</v>
      </c>
      <c r="AE462" s="91">
        <f>+T462*0.01</f>
        <v>125477.75181685714</v>
      </c>
      <c r="AF462" s="91">
        <v>0</v>
      </c>
      <c r="AG462" s="204">
        <f>+AE462*1.15</f>
        <v>144299.41458938571</v>
      </c>
    </row>
    <row r="463" spans="1:33" s="103" customFormat="1" ht="90" customHeight="1">
      <c r="A463" s="102">
        <f t="shared" si="67"/>
        <v>442</v>
      </c>
      <c r="B463" s="52"/>
      <c r="C463" s="51" t="s">
        <v>1102</v>
      </c>
      <c r="D463" s="35" t="s">
        <v>1069</v>
      </c>
      <c r="E463" s="35">
        <v>800005223</v>
      </c>
      <c r="F463" s="36"/>
      <c r="G463" s="35" t="s">
        <v>48</v>
      </c>
      <c r="H463" s="51" t="s">
        <v>97</v>
      </c>
      <c r="I463" s="34" t="s">
        <v>1073</v>
      </c>
      <c r="J463" s="52" t="s">
        <v>169</v>
      </c>
      <c r="K463" s="52" t="s">
        <v>60</v>
      </c>
      <c r="L463" s="51" t="s">
        <v>61</v>
      </c>
      <c r="M463" s="51" t="s">
        <v>117</v>
      </c>
      <c r="N463" s="36" t="s">
        <v>50</v>
      </c>
      <c r="O463" s="51"/>
      <c r="P463" s="51" t="s">
        <v>294</v>
      </c>
      <c r="Q463" s="37"/>
      <c r="R463" s="37"/>
      <c r="S463" s="35" t="s">
        <v>96</v>
      </c>
      <c r="T463" s="38">
        <f>+((3658606+1350713+4298671+929210+1247367+12*1022001/14+1050000+150000)*1.07+16*190000)*1.23</f>
        <v>21586263.356785715</v>
      </c>
      <c r="U463" s="39"/>
      <c r="V463" s="131"/>
      <c r="W463" s="38">
        <v>0</v>
      </c>
      <c r="X463" s="38">
        <v>0</v>
      </c>
      <c r="Y463" s="38">
        <v>0</v>
      </c>
      <c r="Z463" s="38">
        <f>+T463*0.235*0.3</f>
        <v>1521831.5666533927</v>
      </c>
      <c r="AA463" s="91">
        <f>+T463-Z463-AB463</f>
        <v>18769255.988725178</v>
      </c>
      <c r="AB463" s="91">
        <f>+T463*0.06</f>
        <v>1295175.8014071428</v>
      </c>
      <c r="AC463" s="91">
        <v>0</v>
      </c>
      <c r="AD463" s="91">
        <f>+T463*0.01</f>
        <v>215862.63356785715</v>
      </c>
      <c r="AE463" s="91">
        <v>0</v>
      </c>
      <c r="AF463" s="91">
        <f>+AD463*1.15</f>
        <v>248242.02860303569</v>
      </c>
      <c r="AG463" s="204">
        <v>0</v>
      </c>
    </row>
    <row r="464" spans="1:33" s="103" customFormat="1" ht="90" customHeight="1">
      <c r="A464" s="102">
        <f t="shared" si="67"/>
        <v>443</v>
      </c>
      <c r="B464" s="52"/>
      <c r="C464" s="51" t="s">
        <v>1103</v>
      </c>
      <c r="D464" s="35" t="s">
        <v>1069</v>
      </c>
      <c r="E464" s="35">
        <v>800029629</v>
      </c>
      <c r="F464" s="36"/>
      <c r="G464" s="35" t="s">
        <v>48</v>
      </c>
      <c r="H464" s="51" t="s">
        <v>97</v>
      </c>
      <c r="I464" s="34" t="s">
        <v>890</v>
      </c>
      <c r="J464" s="52" t="s">
        <v>882</v>
      </c>
      <c r="K464" s="52" t="s">
        <v>60</v>
      </c>
      <c r="L464" s="51" t="s">
        <v>61</v>
      </c>
      <c r="M464" s="51" t="s">
        <v>117</v>
      </c>
      <c r="N464" s="36" t="s">
        <v>50</v>
      </c>
      <c r="O464" s="51"/>
      <c r="P464" s="51" t="s">
        <v>1150</v>
      </c>
      <c r="Q464" s="37"/>
      <c r="R464" s="37"/>
      <c r="S464" s="35" t="s">
        <v>96</v>
      </c>
      <c r="T464" s="38">
        <f>+((2097122*4+1293526+1350000+1247367+929210+300000+350000+600000+1050000+150000)*1.07+16*190000)*1.23</f>
        <v>24347471.6151</v>
      </c>
      <c r="U464" s="39"/>
      <c r="V464" s="131"/>
      <c r="W464" s="38">
        <v>0</v>
      </c>
      <c r="X464" s="38">
        <v>0</v>
      </c>
      <c r="Y464" s="38">
        <v>0</v>
      </c>
      <c r="Z464" s="38">
        <v>0</v>
      </c>
      <c r="AA464" s="91">
        <v>0</v>
      </c>
      <c r="AB464" s="91">
        <f>+T464*0.235*0.3</f>
        <v>1716496.7488645499</v>
      </c>
      <c r="AC464" s="91">
        <f>+T464-AB464-AD464</f>
        <v>21170126.569329448</v>
      </c>
      <c r="AD464" s="91">
        <f>+T464*0.06</f>
        <v>1460848.296906</v>
      </c>
      <c r="AE464" s="91">
        <v>0</v>
      </c>
      <c r="AF464" s="91">
        <f>+T464*0.01</f>
        <v>243474.716151</v>
      </c>
      <c r="AG464" s="204">
        <v>0</v>
      </c>
    </row>
    <row r="465" spans="1:34" s="103" customFormat="1" ht="90" customHeight="1">
      <c r="A465" s="102">
        <f t="shared" si="67"/>
        <v>444</v>
      </c>
      <c r="B465" s="52"/>
      <c r="C465" s="51" t="s">
        <v>1104</v>
      </c>
      <c r="D465" s="35" t="s">
        <v>73</v>
      </c>
      <c r="E465" s="35">
        <v>800018457</v>
      </c>
      <c r="F465" s="36"/>
      <c r="G465" s="35" t="s">
        <v>48</v>
      </c>
      <c r="H465" s="51" t="s">
        <v>97</v>
      </c>
      <c r="I465" s="34" t="s">
        <v>1133</v>
      </c>
      <c r="J465" s="52" t="s">
        <v>882</v>
      </c>
      <c r="K465" s="52" t="s">
        <v>60</v>
      </c>
      <c r="L465" s="51" t="s">
        <v>61</v>
      </c>
      <c r="M465" s="51" t="s">
        <v>117</v>
      </c>
      <c r="N465" s="36" t="s">
        <v>50</v>
      </c>
      <c r="O465" s="51"/>
      <c r="P465" s="51" t="s">
        <v>564</v>
      </c>
      <c r="Q465" s="37"/>
      <c r="R465" s="37"/>
      <c r="S465" s="35" t="s">
        <v>96</v>
      </c>
      <c r="T465" s="38">
        <f>+((3658606+1293526+1350000+1247367+929210+1050000+150000)*1.07+16*190000)*1.23</f>
        <v>16477348.914900001</v>
      </c>
      <c r="U465" s="39"/>
      <c r="V465" s="131"/>
      <c r="W465" s="38">
        <v>0</v>
      </c>
      <c r="X465" s="38">
        <v>0</v>
      </c>
      <c r="Y465" s="38">
        <v>0</v>
      </c>
      <c r="Z465" s="38">
        <v>0</v>
      </c>
      <c r="AA465" s="91">
        <f>+T465*0.235*0.3</f>
        <v>1161653.0985004499</v>
      </c>
      <c r="AB465" s="91">
        <f>+T465-AA465-AC465</f>
        <v>14327054.881505553</v>
      </c>
      <c r="AC465" s="91">
        <f>+T465*0.06</f>
        <v>988640.93489400006</v>
      </c>
      <c r="AD465" s="91">
        <v>0</v>
      </c>
      <c r="AE465" s="91">
        <f>+T465*0.01</f>
        <v>164773.489149</v>
      </c>
      <c r="AF465" s="91">
        <v>0</v>
      </c>
      <c r="AG465" s="204">
        <f>+AE465*1.15</f>
        <v>189489.51252135</v>
      </c>
    </row>
    <row r="466" spans="1:34" s="103" customFormat="1" ht="90" customHeight="1">
      <c r="A466" s="102">
        <f t="shared" si="67"/>
        <v>445</v>
      </c>
      <c r="B466" s="52"/>
      <c r="C466" s="51" t="s">
        <v>1105</v>
      </c>
      <c r="D466" s="35" t="s">
        <v>1067</v>
      </c>
      <c r="E466" s="35">
        <v>800020727</v>
      </c>
      <c r="F466" s="36"/>
      <c r="G466" s="35" t="s">
        <v>48</v>
      </c>
      <c r="H466" s="51" t="s">
        <v>97</v>
      </c>
      <c r="I466" s="34" t="s">
        <v>890</v>
      </c>
      <c r="J466" s="52" t="s">
        <v>882</v>
      </c>
      <c r="K466" s="52" t="s">
        <v>60</v>
      </c>
      <c r="L466" s="51" t="s">
        <v>61</v>
      </c>
      <c r="M466" s="51" t="s">
        <v>117</v>
      </c>
      <c r="N466" s="36" t="s">
        <v>50</v>
      </c>
      <c r="O466" s="51"/>
      <c r="P466" s="51" t="s">
        <v>564</v>
      </c>
      <c r="Q466" s="37"/>
      <c r="R466" s="37"/>
      <c r="S466" s="35" t="s">
        <v>96</v>
      </c>
      <c r="T466" s="38">
        <f>+((3658606+1293526+1350000+1247367+929210+1050000+150000)*1.07+16*190000)*1.23</f>
        <v>16477348.914900001</v>
      </c>
      <c r="U466" s="39"/>
      <c r="V466" s="131"/>
      <c r="W466" s="38">
        <v>0</v>
      </c>
      <c r="X466" s="38">
        <v>0</v>
      </c>
      <c r="Y466" s="132">
        <f>+T466*0.235*0.3</f>
        <v>1161653.0985004499</v>
      </c>
      <c r="Z466" s="38">
        <f>+T466-Y466-AA466</f>
        <v>14491828.370654551</v>
      </c>
      <c r="AA466" s="91">
        <f>+T466*0.05</f>
        <v>823867.44574500015</v>
      </c>
      <c r="AB466" s="91">
        <v>0</v>
      </c>
      <c r="AC466" s="91">
        <f>+AA466*0.1</f>
        <v>82386.744574500015</v>
      </c>
      <c r="AD466" s="91">
        <v>0</v>
      </c>
      <c r="AE466" s="91">
        <f>+AC466*1.15</f>
        <v>94744.756260675014</v>
      </c>
      <c r="AF466" s="91">
        <v>0</v>
      </c>
      <c r="AG466" s="204">
        <f>+AE466*1.15</f>
        <v>108956.46969977625</v>
      </c>
    </row>
    <row r="467" spans="1:34" s="103" customFormat="1" ht="90" customHeight="1">
      <c r="A467" s="102">
        <f t="shared" si="67"/>
        <v>446</v>
      </c>
      <c r="B467" s="52"/>
      <c r="C467" s="51" t="s">
        <v>1107</v>
      </c>
      <c r="D467" s="35" t="s">
        <v>1069</v>
      </c>
      <c r="E467" s="35">
        <v>800029330</v>
      </c>
      <c r="F467" s="36"/>
      <c r="G467" s="35" t="s">
        <v>48</v>
      </c>
      <c r="H467" s="51" t="s">
        <v>97</v>
      </c>
      <c r="I467" s="34" t="s">
        <v>1071</v>
      </c>
      <c r="J467" s="52" t="s">
        <v>99</v>
      </c>
      <c r="K467" s="52"/>
      <c r="L467" s="51" t="s">
        <v>61</v>
      </c>
      <c r="M467" s="51" t="s">
        <v>117</v>
      </c>
      <c r="N467" s="36" t="s">
        <v>50</v>
      </c>
      <c r="O467" s="51"/>
      <c r="P467" s="51" t="s">
        <v>1143</v>
      </c>
      <c r="Q467" s="37"/>
      <c r="R467" s="37"/>
      <c r="S467" s="35" t="s">
        <v>96</v>
      </c>
      <c r="T467" s="38">
        <f>+(2097122*2+1247367+929210+1293526+12*1022001/14+1350000+1050000)*1.07*1.23</f>
        <v>14398591.814785715</v>
      </c>
      <c r="U467" s="39"/>
      <c r="V467" s="131"/>
      <c r="W467" s="38">
        <v>0</v>
      </c>
      <c r="X467" s="38">
        <v>0</v>
      </c>
      <c r="Y467" s="38">
        <v>0</v>
      </c>
      <c r="Z467" s="38">
        <v>0</v>
      </c>
      <c r="AA467" s="91">
        <f>+T467*0.235*0.3</f>
        <v>1015100.7229423928</v>
      </c>
      <c r="AB467" s="91">
        <f>+T467-AA467-AC467</f>
        <v>12519575.58295618</v>
      </c>
      <c r="AC467" s="91">
        <f>+T467*0.06</f>
        <v>863915.50888714287</v>
      </c>
      <c r="AD467" s="91">
        <v>0</v>
      </c>
      <c r="AE467" s="91">
        <f>+T467*0.01</f>
        <v>143985.91814785716</v>
      </c>
      <c r="AF467" s="91">
        <v>0</v>
      </c>
      <c r="AG467" s="204">
        <f>+AE467*1.15</f>
        <v>165583.80587003572</v>
      </c>
    </row>
    <row r="468" spans="1:34" s="103" customFormat="1" ht="90" customHeight="1">
      <c r="A468" s="102">
        <f t="shared" si="67"/>
        <v>447</v>
      </c>
      <c r="B468" s="52"/>
      <c r="C468" s="51" t="s">
        <v>1108</v>
      </c>
      <c r="D468" s="35" t="s">
        <v>1067</v>
      </c>
      <c r="E468" s="35">
        <v>800022194</v>
      </c>
      <c r="F468" s="36"/>
      <c r="G468" s="35" t="s">
        <v>48</v>
      </c>
      <c r="H468" s="51" t="s">
        <v>97</v>
      </c>
      <c r="I468" s="34" t="s">
        <v>323</v>
      </c>
      <c r="J468" s="52" t="s">
        <v>169</v>
      </c>
      <c r="K468" s="52" t="s">
        <v>60</v>
      </c>
      <c r="L468" s="51" t="s">
        <v>61</v>
      </c>
      <c r="M468" s="51" t="s">
        <v>117</v>
      </c>
      <c r="N468" s="36" t="s">
        <v>50</v>
      </c>
      <c r="O468" s="51"/>
      <c r="P468" s="51" t="s">
        <v>1151</v>
      </c>
      <c r="Q468" s="37"/>
      <c r="R468" s="37"/>
      <c r="S468" s="35" t="s">
        <v>96</v>
      </c>
      <c r="T468" s="38">
        <f>+((1141850+1714473+3658606+1293526+1247367+929210+12*1022001/14+1350000+150000+750000)*1.07+8*190000)*1.23</f>
        <v>19125030.343285713</v>
      </c>
      <c r="U468" s="39"/>
      <c r="V468" s="131"/>
      <c r="W468" s="38">
        <v>0</v>
      </c>
      <c r="X468" s="38">
        <v>0</v>
      </c>
      <c r="Y468" s="38">
        <v>0</v>
      </c>
      <c r="Z468" s="38">
        <f>+T468*0.235*0.3</f>
        <v>1348314.6392016427</v>
      </c>
      <c r="AA468" s="91">
        <f>+T468-Z468-AB468</f>
        <v>16629213.88348693</v>
      </c>
      <c r="AB468" s="91">
        <f>+T468*0.06</f>
        <v>1147501.8205971427</v>
      </c>
      <c r="AC468" s="91">
        <v>0</v>
      </c>
      <c r="AD468" s="91">
        <f>+T468*0.01</f>
        <v>191250.30343285712</v>
      </c>
      <c r="AE468" s="91">
        <v>0</v>
      </c>
      <c r="AF468" s="91">
        <f>+AD468*1.15</f>
        <v>219937.84894778568</v>
      </c>
      <c r="AG468" s="204">
        <v>0</v>
      </c>
      <c r="AH468" s="103">
        <f>+T468*0.06</f>
        <v>1147501.8205971427</v>
      </c>
    </row>
    <row r="469" spans="1:34" s="103" customFormat="1" ht="90" customHeight="1">
      <c r="A469" s="102">
        <f t="shared" si="67"/>
        <v>448</v>
      </c>
      <c r="B469" s="52"/>
      <c r="C469" s="51" t="s">
        <v>1109</v>
      </c>
      <c r="D469" s="35" t="s">
        <v>73</v>
      </c>
      <c r="E469" s="35">
        <v>800031088</v>
      </c>
      <c r="F469" s="36"/>
      <c r="G469" s="35" t="s">
        <v>48</v>
      </c>
      <c r="H469" s="51" t="s">
        <v>97</v>
      </c>
      <c r="I469" s="34" t="s">
        <v>1134</v>
      </c>
      <c r="J469" s="52" t="s">
        <v>882</v>
      </c>
      <c r="K469" s="52" t="s">
        <v>60</v>
      </c>
      <c r="L469" s="51" t="s">
        <v>61</v>
      </c>
      <c r="M469" s="51" t="s">
        <v>117</v>
      </c>
      <c r="N469" s="36" t="s">
        <v>50</v>
      </c>
      <c r="O469" s="51"/>
      <c r="P469" s="51" t="s">
        <v>1152</v>
      </c>
      <c r="Q469" s="37"/>
      <c r="R469" s="37"/>
      <c r="S469" s="35" t="s">
        <v>96</v>
      </c>
      <c r="T469" s="38">
        <f>+((3658606+1293526+929210+12*1022001/14+150000+750000)*1.07+16*190000)*1.23</f>
        <v>13817028.934285715</v>
      </c>
      <c r="U469" s="39"/>
      <c r="V469" s="131"/>
      <c r="W469" s="38">
        <v>0</v>
      </c>
      <c r="X469" s="38">
        <v>0</v>
      </c>
      <c r="Y469" s="38">
        <v>0</v>
      </c>
      <c r="Z469" s="38">
        <v>0</v>
      </c>
      <c r="AA469" s="91">
        <v>0</v>
      </c>
      <c r="AB469" s="91">
        <v>0</v>
      </c>
      <c r="AC469" s="91">
        <v>0</v>
      </c>
      <c r="AD469" s="91">
        <f>+T469*0.235*0.3</f>
        <v>974100.5398671428</v>
      </c>
      <c r="AE469" s="91">
        <f>+T469-AF469-AF469</f>
        <v>12158985.462171428</v>
      </c>
      <c r="AF469" s="91">
        <f>+T469*0.06</f>
        <v>829021.73605714284</v>
      </c>
      <c r="AG469" s="204">
        <v>0</v>
      </c>
    </row>
    <row r="470" spans="1:34" s="103" customFormat="1" ht="90" customHeight="1">
      <c r="A470" s="102">
        <f t="shared" si="67"/>
        <v>449</v>
      </c>
      <c r="B470" s="52"/>
      <c r="C470" s="51" t="s">
        <v>1110</v>
      </c>
      <c r="D470" s="35" t="s">
        <v>73</v>
      </c>
      <c r="E470" s="35">
        <v>800024885</v>
      </c>
      <c r="F470" s="36"/>
      <c r="G470" s="35" t="s">
        <v>48</v>
      </c>
      <c r="H470" s="51" t="s">
        <v>97</v>
      </c>
      <c r="I470" s="34" t="s">
        <v>1135</v>
      </c>
      <c r="J470" s="52" t="s">
        <v>882</v>
      </c>
      <c r="K470" s="52" t="s">
        <v>60</v>
      </c>
      <c r="L470" s="51" t="s">
        <v>61</v>
      </c>
      <c r="M470" s="51" t="s">
        <v>117</v>
      </c>
      <c r="N470" s="36" t="s">
        <v>50</v>
      </c>
      <c r="O470" s="51"/>
      <c r="P470" s="51" t="s">
        <v>1153</v>
      </c>
      <c r="Q470" s="37"/>
      <c r="R470" s="37"/>
      <c r="S470" s="35" t="s">
        <v>96</v>
      </c>
      <c r="T470" s="38">
        <f>+(16*190000+270000*2+(1714473+3658606+929210+1293526+4298671+1050000+150000)*1.07)*1.23</f>
        <v>21637053.024600003</v>
      </c>
      <c r="U470" s="39"/>
      <c r="V470" s="131"/>
      <c r="W470" s="38">
        <v>0</v>
      </c>
      <c r="X470" s="38">
        <v>0</v>
      </c>
      <c r="Y470" s="38">
        <v>0</v>
      </c>
      <c r="Z470" s="38">
        <v>0</v>
      </c>
      <c r="AA470" s="91">
        <f>+T470*0.235*0.3</f>
        <v>1525412.2382343002</v>
      </c>
      <c r="AB470" s="91">
        <f>+T470-AA470-AC470</f>
        <v>18813417.604889702</v>
      </c>
      <c r="AC470" s="91">
        <f>+T470*0.06</f>
        <v>1298223.1814760002</v>
      </c>
      <c r="AD470" s="91">
        <v>0</v>
      </c>
      <c r="AE470" s="91">
        <f>+T470*0.01</f>
        <v>216370.53024600004</v>
      </c>
      <c r="AF470" s="91">
        <v>0</v>
      </c>
      <c r="AG470" s="204">
        <f>+AE470*1.15</f>
        <v>248826.10978290002</v>
      </c>
    </row>
    <row r="471" spans="1:34" s="103" customFormat="1" ht="90" customHeight="1">
      <c r="A471" s="102">
        <f t="shared" si="67"/>
        <v>450</v>
      </c>
      <c r="B471" s="52"/>
      <c r="C471" s="51" t="s">
        <v>1111</v>
      </c>
      <c r="D471" s="35" t="s">
        <v>65</v>
      </c>
      <c r="E471" s="35">
        <v>800019075</v>
      </c>
      <c r="F471" s="36"/>
      <c r="G471" s="35" t="s">
        <v>48</v>
      </c>
      <c r="H471" s="51" t="s">
        <v>97</v>
      </c>
      <c r="I471" s="34" t="s">
        <v>556</v>
      </c>
      <c r="J471" s="52" t="s">
        <v>169</v>
      </c>
      <c r="K471" s="52" t="s">
        <v>60</v>
      </c>
      <c r="L471" s="51" t="s">
        <v>61</v>
      </c>
      <c r="M471" s="51" t="s">
        <v>117</v>
      </c>
      <c r="N471" s="36" t="s">
        <v>50</v>
      </c>
      <c r="O471" s="51"/>
      <c r="P471" s="51" t="s">
        <v>1154</v>
      </c>
      <c r="Q471" s="37"/>
      <c r="R471" s="37"/>
      <c r="S471" s="35" t="s">
        <v>96</v>
      </c>
      <c r="T471" s="38">
        <f>+(7*190000+(3658606+1293526+1350713+1823640+1350000+12*1022001/14)*1.07)*1.23</f>
        <v>15260806.636585712</v>
      </c>
      <c r="U471" s="39"/>
      <c r="V471" s="131"/>
      <c r="W471" s="38">
        <v>0</v>
      </c>
      <c r="X471" s="38">
        <v>0</v>
      </c>
      <c r="Y471" s="38">
        <v>0</v>
      </c>
      <c r="Z471" s="38">
        <v>0</v>
      </c>
      <c r="AA471" s="91">
        <v>0</v>
      </c>
      <c r="AB471" s="91">
        <v>0</v>
      </c>
      <c r="AC471" s="91">
        <v>0</v>
      </c>
      <c r="AD471" s="91">
        <f>+T471*0.235*0.3</f>
        <v>1075886.8678792927</v>
      </c>
      <c r="AE471" s="91">
        <f>+T471-AD471-AF471</f>
        <v>13269271.370511279</v>
      </c>
      <c r="AF471" s="91">
        <f>+T471*0.06</f>
        <v>915648.39819514274</v>
      </c>
      <c r="AG471" s="204">
        <v>0</v>
      </c>
    </row>
    <row r="472" spans="1:34" s="103" customFormat="1" ht="90" customHeight="1">
      <c r="A472" s="102">
        <f t="shared" ref="A472:A527" si="71">+A471+1</f>
        <v>451</v>
      </c>
      <c r="B472" s="52"/>
      <c r="C472" s="51" t="s">
        <v>1112</v>
      </c>
      <c r="D472" s="35" t="s">
        <v>1068</v>
      </c>
      <c r="E472" s="35">
        <v>800011841</v>
      </c>
      <c r="F472" s="36"/>
      <c r="G472" s="35" t="s">
        <v>48</v>
      </c>
      <c r="H472" s="51" t="s">
        <v>97</v>
      </c>
      <c r="I472" s="34" t="s">
        <v>890</v>
      </c>
      <c r="J472" s="52" t="s">
        <v>882</v>
      </c>
      <c r="K472" s="52" t="s">
        <v>60</v>
      </c>
      <c r="L472" s="51" t="s">
        <v>61</v>
      </c>
      <c r="M472" s="51" t="s">
        <v>117</v>
      </c>
      <c r="N472" s="36" t="s">
        <v>50</v>
      </c>
      <c r="O472" s="51"/>
      <c r="P472" s="51" t="s">
        <v>1155</v>
      </c>
      <c r="Q472" s="37"/>
      <c r="R472" s="37"/>
      <c r="S472" s="35" t="s">
        <v>96</v>
      </c>
      <c r="T472" s="38">
        <f>+(16*190000+(3658606+1293526+929210+1350713+1823640+1350000+12*1022001/14)*1.07)*1.23</f>
        <v>18587039.917585716</v>
      </c>
      <c r="U472" s="39"/>
      <c r="V472" s="131"/>
      <c r="W472" s="38">
        <v>0</v>
      </c>
      <c r="X472" s="38">
        <v>0</v>
      </c>
      <c r="Y472" s="38">
        <v>0</v>
      </c>
      <c r="Z472" s="38">
        <v>0</v>
      </c>
      <c r="AA472" s="91">
        <f>+T472*0.235*0.3</f>
        <v>1310386.3141897928</v>
      </c>
      <c r="AB472" s="91">
        <f>+T472-AA472-AC472</f>
        <v>16161431.208340781</v>
      </c>
      <c r="AC472" s="91">
        <f>+T472*0.06</f>
        <v>1115222.3950551429</v>
      </c>
      <c r="AD472" s="91">
        <v>0</v>
      </c>
      <c r="AE472" s="91">
        <f>+T472*0.01</f>
        <v>185870.39917585716</v>
      </c>
      <c r="AF472" s="91">
        <v>0</v>
      </c>
      <c r="AG472" s="204">
        <f>+AE472*1.15</f>
        <v>213750.95905223573</v>
      </c>
    </row>
    <row r="473" spans="1:34" s="103" customFormat="1" ht="90" customHeight="1">
      <c r="A473" s="102">
        <f t="shared" si="71"/>
        <v>452</v>
      </c>
      <c r="B473" s="52"/>
      <c r="C473" s="51" t="s">
        <v>1113</v>
      </c>
      <c r="D473" s="35" t="s">
        <v>1126</v>
      </c>
      <c r="E473" s="35">
        <v>800018655</v>
      </c>
      <c r="F473" s="36"/>
      <c r="G473" s="35" t="s">
        <v>48</v>
      </c>
      <c r="H473" s="51" t="s">
        <v>97</v>
      </c>
      <c r="I473" s="34" t="s">
        <v>1072</v>
      </c>
      <c r="J473" s="52" t="s">
        <v>99</v>
      </c>
      <c r="K473" s="52"/>
      <c r="L473" s="51" t="s">
        <v>61</v>
      </c>
      <c r="M473" s="51" t="s">
        <v>117</v>
      </c>
      <c r="N473" s="36" t="s">
        <v>50</v>
      </c>
      <c r="O473" s="51"/>
      <c r="P473" s="51" t="s">
        <v>1233</v>
      </c>
      <c r="Q473" s="37"/>
      <c r="R473" s="37"/>
      <c r="S473" s="35" t="s">
        <v>96</v>
      </c>
      <c r="T473" s="38">
        <f>+(13*190000+(1714473+1141850+3658606+1247367+1293526+929210+1350000+150000+750000)*1.07)*1.23</f>
        <v>19140625.615200002</v>
      </c>
      <c r="U473" s="39"/>
      <c r="V473" s="131"/>
      <c r="W473" s="38">
        <v>0</v>
      </c>
      <c r="X473" s="38">
        <v>0</v>
      </c>
      <c r="Y473" s="38">
        <v>0</v>
      </c>
      <c r="Z473" s="38">
        <v>0</v>
      </c>
      <c r="AA473" s="91">
        <f>+T473*0.235*0.3</f>
        <v>1349414.1058715999</v>
      </c>
      <c r="AB473" s="91">
        <f>+T473-AA473-AC473</f>
        <v>16642773.972416403</v>
      </c>
      <c r="AC473" s="91">
        <f>+T473*0.06</f>
        <v>1148437.536912</v>
      </c>
      <c r="AD473" s="91">
        <v>0</v>
      </c>
      <c r="AE473" s="91">
        <f>+T473*0.01</f>
        <v>191406.25615200002</v>
      </c>
      <c r="AF473" s="91">
        <v>0</v>
      </c>
      <c r="AG473" s="204">
        <f>+AE473*1.15</f>
        <v>220117.1945748</v>
      </c>
    </row>
    <row r="474" spans="1:34" s="103" customFormat="1" ht="90" customHeight="1">
      <c r="A474" s="102">
        <f t="shared" si="71"/>
        <v>453</v>
      </c>
      <c r="B474" s="52"/>
      <c r="C474" s="51" t="s">
        <v>1114</v>
      </c>
      <c r="D474" s="35" t="s">
        <v>1068</v>
      </c>
      <c r="E474" s="35">
        <v>800007740</v>
      </c>
      <c r="F474" s="36"/>
      <c r="G474" s="35" t="s">
        <v>48</v>
      </c>
      <c r="H474" s="51" t="s">
        <v>97</v>
      </c>
      <c r="I474" s="34" t="s">
        <v>323</v>
      </c>
      <c r="J474" s="52" t="s">
        <v>169</v>
      </c>
      <c r="K474" s="52" t="s">
        <v>60</v>
      </c>
      <c r="L474" s="51" t="s">
        <v>61</v>
      </c>
      <c r="M474" s="51" t="s">
        <v>117</v>
      </c>
      <c r="N474" s="36" t="s">
        <v>50</v>
      </c>
      <c r="O474" s="51"/>
      <c r="P474" s="51" t="s">
        <v>1156</v>
      </c>
      <c r="Q474" s="37"/>
      <c r="R474" s="37"/>
      <c r="S474" s="35" t="s">
        <v>96</v>
      </c>
      <c r="T474" s="38">
        <f>+(16*190000+(3658606+929210+1293526+1350713+1350000+12*1022001/14)*1.07)*1.23</f>
        <v>16186947.313585714</v>
      </c>
      <c r="U474" s="39"/>
      <c r="V474" s="131"/>
      <c r="W474" s="38">
        <v>0</v>
      </c>
      <c r="X474" s="38">
        <v>0</v>
      </c>
      <c r="Y474" s="38">
        <v>0</v>
      </c>
      <c r="Z474" s="38">
        <v>0</v>
      </c>
      <c r="AA474" s="91">
        <v>0</v>
      </c>
      <c r="AB474" s="91">
        <f>+T474*0.235*0.3</f>
        <v>1141179.7856077927</v>
      </c>
      <c r="AC474" s="91">
        <f>+T474-AB474-AD474</f>
        <v>14074550.689162778</v>
      </c>
      <c r="AD474" s="91">
        <f>+T474*0.06</f>
        <v>971216.83881514275</v>
      </c>
      <c r="AE474" s="91">
        <v>0</v>
      </c>
      <c r="AF474" s="91">
        <f>+T474*0.01</f>
        <v>161869.47313585714</v>
      </c>
      <c r="AG474" s="204">
        <v>0</v>
      </c>
    </row>
    <row r="475" spans="1:34" s="103" customFormat="1" ht="90" customHeight="1">
      <c r="A475" s="102">
        <f t="shared" si="71"/>
        <v>454</v>
      </c>
      <c r="B475" s="52"/>
      <c r="C475" s="51" t="s">
        <v>1115</v>
      </c>
      <c r="D475" s="35" t="s">
        <v>1069</v>
      </c>
      <c r="E475" s="35">
        <v>800025916</v>
      </c>
      <c r="F475" s="36"/>
      <c r="G475" s="35" t="s">
        <v>48</v>
      </c>
      <c r="H475" s="51" t="s">
        <v>97</v>
      </c>
      <c r="I475" s="34" t="s">
        <v>1131</v>
      </c>
      <c r="J475" s="52" t="s">
        <v>882</v>
      </c>
      <c r="K475" s="52" t="s">
        <v>60</v>
      </c>
      <c r="L475" s="51" t="s">
        <v>61</v>
      </c>
      <c r="M475" s="51" t="s">
        <v>117</v>
      </c>
      <c r="N475" s="36" t="s">
        <v>50</v>
      </c>
      <c r="O475" s="51"/>
      <c r="P475" s="51" t="s">
        <v>1157</v>
      </c>
      <c r="Q475" s="37"/>
      <c r="R475" s="37"/>
      <c r="S475" s="35" t="s">
        <v>96</v>
      </c>
      <c r="T475" s="38">
        <f>(2097122+3658606+929210+1293526+1350713+1247367+4298671+1350000+12*1022001/14+750000+150000)*1.07*1.23</f>
        <v>23691400.189585716</v>
      </c>
      <c r="U475" s="39"/>
      <c r="V475" s="131"/>
      <c r="W475" s="38">
        <v>0</v>
      </c>
      <c r="X475" s="38">
        <v>0</v>
      </c>
      <c r="Y475" s="38">
        <v>0</v>
      </c>
      <c r="Z475" s="38">
        <v>0</v>
      </c>
      <c r="AA475" s="91">
        <v>0</v>
      </c>
      <c r="AB475" s="91">
        <v>0</v>
      </c>
      <c r="AC475" s="91">
        <v>0</v>
      </c>
      <c r="AD475" s="91">
        <f>+T475*0.235*0.3</f>
        <v>1670243.7133657928</v>
      </c>
      <c r="AE475" s="91">
        <f>+T475-AF475-AF475</f>
        <v>20848432.166835427</v>
      </c>
      <c r="AF475" s="91">
        <f>+T475*0.06</f>
        <v>1421484.011375143</v>
      </c>
      <c r="AG475" s="204">
        <v>0</v>
      </c>
    </row>
    <row r="476" spans="1:34" s="103" customFormat="1" ht="90" customHeight="1">
      <c r="A476" s="102">
        <f t="shared" si="71"/>
        <v>455</v>
      </c>
      <c r="B476" s="52"/>
      <c r="C476" s="51" t="s">
        <v>1116</v>
      </c>
      <c r="D476" s="35" t="s">
        <v>1068</v>
      </c>
      <c r="E476" s="35">
        <v>800016030</v>
      </c>
      <c r="F476" s="36"/>
      <c r="G476" s="35" t="s">
        <v>48</v>
      </c>
      <c r="H476" s="51" t="s">
        <v>97</v>
      </c>
      <c r="I476" s="34" t="s">
        <v>881</v>
      </c>
      <c r="J476" s="52" t="s">
        <v>882</v>
      </c>
      <c r="K476" s="52" t="s">
        <v>60</v>
      </c>
      <c r="L476" s="51" t="s">
        <v>61</v>
      </c>
      <c r="M476" s="51" t="s">
        <v>117</v>
      </c>
      <c r="N476" s="36" t="s">
        <v>50</v>
      </c>
      <c r="O476" s="51"/>
      <c r="P476" s="51" t="s">
        <v>1158</v>
      </c>
      <c r="Q476" s="37"/>
      <c r="R476" s="37"/>
      <c r="S476" s="35" t="s">
        <v>96</v>
      </c>
      <c r="T476" s="38">
        <f>+(3658606+1293526+929210+1350713+1823640+1350000+300000)*1.07*1.23</f>
        <v>14089765.1895</v>
      </c>
      <c r="U476" s="39"/>
      <c r="V476" s="131"/>
      <c r="W476" s="38">
        <v>0</v>
      </c>
      <c r="X476" s="38">
        <v>0</v>
      </c>
      <c r="Y476" s="38">
        <v>0</v>
      </c>
      <c r="Z476" s="38">
        <v>0</v>
      </c>
      <c r="AA476" s="91">
        <f>+T476*0.235*0.3</f>
        <v>993328.44585975003</v>
      </c>
      <c r="AB476" s="91">
        <f>+T476-AA476-AC476</f>
        <v>12251050.83227025</v>
      </c>
      <c r="AC476" s="91">
        <f>+T476*0.06</f>
        <v>845385.91136999999</v>
      </c>
      <c r="AD476" s="91">
        <v>0</v>
      </c>
      <c r="AE476" s="91">
        <f>+T476*0.01</f>
        <v>140897.65189500002</v>
      </c>
      <c r="AF476" s="91">
        <v>0</v>
      </c>
      <c r="AG476" s="204">
        <f>+AE476*1.15</f>
        <v>162032.29967925002</v>
      </c>
    </row>
    <row r="477" spans="1:34" s="103" customFormat="1" ht="90" customHeight="1">
      <c r="A477" s="102">
        <f t="shared" si="71"/>
        <v>456</v>
      </c>
      <c r="B477" s="52"/>
      <c r="C477" s="51" t="s">
        <v>1117</v>
      </c>
      <c r="D477" s="35" t="s">
        <v>1068</v>
      </c>
      <c r="E477" s="35">
        <v>800000273</v>
      </c>
      <c r="F477" s="36"/>
      <c r="G477" s="35" t="s">
        <v>48</v>
      </c>
      <c r="H477" s="51" t="s">
        <v>97</v>
      </c>
      <c r="I477" s="34" t="s">
        <v>1128</v>
      </c>
      <c r="J477" s="52" t="s">
        <v>169</v>
      </c>
      <c r="K477" s="52" t="s">
        <v>60</v>
      </c>
      <c r="L477" s="51" t="s">
        <v>61</v>
      </c>
      <c r="M477" s="51" t="s">
        <v>117</v>
      </c>
      <c r="N477" s="36" t="s">
        <v>50</v>
      </c>
      <c r="O477" s="51"/>
      <c r="P477" s="51" t="s">
        <v>1159</v>
      </c>
      <c r="Q477" s="37"/>
      <c r="R477" s="37"/>
      <c r="S477" s="35" t="s">
        <v>96</v>
      </c>
      <c r="T477" s="38">
        <f>+(1714473+3658606+1293526+929210+1350000+12*1022001/14+150000+750000)*1.07*1.23</f>
        <v>14110981.849585714</v>
      </c>
      <c r="U477" s="39"/>
      <c r="V477" s="131"/>
      <c r="W477" s="38">
        <v>0</v>
      </c>
      <c r="X477" s="38">
        <v>0</v>
      </c>
      <c r="Y477" s="132">
        <v>0</v>
      </c>
      <c r="Z477" s="38">
        <f>+T477*0.235*0.3</f>
        <v>994824.22039579274</v>
      </c>
      <c r="AA477" s="91">
        <f>+T477-AB477</f>
        <v>13405432.757106427</v>
      </c>
      <c r="AB477" s="91">
        <f>+T477*0.05</f>
        <v>705549.09247928578</v>
      </c>
      <c r="AC477" s="91">
        <v>0</v>
      </c>
      <c r="AD477" s="91">
        <f>+T477*0.01</f>
        <v>141109.81849585715</v>
      </c>
      <c r="AE477" s="91">
        <v>0</v>
      </c>
      <c r="AF477" s="91">
        <f>+AD477*1.15</f>
        <v>162276.2912702357</v>
      </c>
      <c r="AG477" s="204">
        <v>0</v>
      </c>
    </row>
    <row r="478" spans="1:34" s="103" customFormat="1" ht="90" customHeight="1">
      <c r="A478" s="102">
        <f t="shared" si="71"/>
        <v>457</v>
      </c>
      <c r="B478" s="52"/>
      <c r="C478" s="51" t="s">
        <v>1118</v>
      </c>
      <c r="D478" s="35" t="s">
        <v>1069</v>
      </c>
      <c r="E478" s="35">
        <v>800029397</v>
      </c>
      <c r="F478" s="36"/>
      <c r="G478" s="35" t="s">
        <v>48</v>
      </c>
      <c r="H478" s="51" t="s">
        <v>97</v>
      </c>
      <c r="I478" s="34" t="s">
        <v>553</v>
      </c>
      <c r="J478" s="52" t="s">
        <v>553</v>
      </c>
      <c r="K478" s="52"/>
      <c r="L478" s="51" t="s">
        <v>61</v>
      </c>
      <c r="M478" s="51" t="s">
        <v>117</v>
      </c>
      <c r="N478" s="36" t="s">
        <v>50</v>
      </c>
      <c r="O478" s="51"/>
      <c r="P478" s="51" t="s">
        <v>1160</v>
      </c>
      <c r="Q478" s="37"/>
      <c r="R478" s="37"/>
      <c r="S478" s="35" t="s">
        <v>96</v>
      </c>
      <c r="T478" s="38">
        <f>+(1714473+1247367+1293526+929210+1350000+12*1022001/14+150000+750000)*1.07*1.23</f>
        <v>10937550.201685714</v>
      </c>
      <c r="U478" s="39"/>
      <c r="V478" s="131"/>
      <c r="W478" s="38">
        <v>0</v>
      </c>
      <c r="X478" s="38">
        <v>0</v>
      </c>
      <c r="Y478" s="38">
        <v>0</v>
      </c>
      <c r="Z478" s="38">
        <v>0</v>
      </c>
      <c r="AA478" s="91">
        <v>0</v>
      </c>
      <c r="AB478" s="91">
        <f>+T478*0.235*0.3</f>
        <v>771097.28921884275</v>
      </c>
      <c r="AC478" s="91">
        <f>+T478-AB478-AD478</f>
        <v>9510199.900365727</v>
      </c>
      <c r="AD478" s="91">
        <f>+T478*0.06</f>
        <v>656253.01210114278</v>
      </c>
      <c r="AE478" s="91">
        <v>0</v>
      </c>
      <c r="AF478" s="91">
        <f>+T478*0.01</f>
        <v>109375.50201685714</v>
      </c>
      <c r="AG478" s="204">
        <v>0</v>
      </c>
    </row>
    <row r="479" spans="1:34" s="103" customFormat="1" ht="90" customHeight="1">
      <c r="A479" s="102">
        <f t="shared" si="71"/>
        <v>458</v>
      </c>
      <c r="B479" s="52"/>
      <c r="C479" s="51" t="s">
        <v>1119</v>
      </c>
      <c r="D479" s="35" t="s">
        <v>1067</v>
      </c>
      <c r="E479" s="35">
        <v>800017053</v>
      </c>
      <c r="F479" s="36"/>
      <c r="G479" s="35" t="s">
        <v>48</v>
      </c>
      <c r="H479" s="51" t="s">
        <v>97</v>
      </c>
      <c r="I479" s="34" t="s">
        <v>323</v>
      </c>
      <c r="J479" s="52" t="s">
        <v>169</v>
      </c>
      <c r="K479" s="52" t="s">
        <v>60</v>
      </c>
      <c r="L479" s="51" t="s">
        <v>61</v>
      </c>
      <c r="M479" s="51" t="s">
        <v>117</v>
      </c>
      <c r="N479" s="36" t="s">
        <v>50</v>
      </c>
      <c r="O479" s="51"/>
      <c r="P479" s="51" t="s">
        <v>1161</v>
      </c>
      <c r="Q479" s="37"/>
      <c r="R479" s="37"/>
      <c r="S479" s="35" t="s">
        <v>96</v>
      </c>
      <c r="T479" s="38">
        <f>+(5*25000+8*190000+(1141850+1714473+3658606+929210+1350000+12*1022001/14+150000+750000)*1.07)*1.23</f>
        <v>15934711.065985715</v>
      </c>
      <c r="U479" s="39"/>
      <c r="V479" s="131"/>
      <c r="W479" s="38">
        <v>0</v>
      </c>
      <c r="X479" s="38">
        <v>0</v>
      </c>
      <c r="Y479" s="38">
        <v>0</v>
      </c>
      <c r="Z479" s="38">
        <v>0</v>
      </c>
      <c r="AA479" s="91">
        <v>0</v>
      </c>
      <c r="AB479" s="91">
        <f>+T479*0.235*0.3</f>
        <v>1123397.1301519929</v>
      </c>
      <c r="AC479" s="91">
        <f>+T479-AB479-AD479</f>
        <v>13855231.271874579</v>
      </c>
      <c r="AD479" s="91">
        <f>+T479*0.06</f>
        <v>956082.66395914287</v>
      </c>
      <c r="AE479" s="91">
        <v>0</v>
      </c>
      <c r="AF479" s="91">
        <f>+T479*0.01</f>
        <v>159347.11065985716</v>
      </c>
      <c r="AG479" s="204">
        <v>0</v>
      </c>
    </row>
    <row r="480" spans="1:34" s="103" customFormat="1" ht="90" customHeight="1">
      <c r="A480" s="102">
        <f t="shared" si="71"/>
        <v>459</v>
      </c>
      <c r="B480" s="52"/>
      <c r="C480" s="51" t="s">
        <v>1120</v>
      </c>
      <c r="D480" s="35" t="s">
        <v>1068</v>
      </c>
      <c r="E480" s="35">
        <v>800022061</v>
      </c>
      <c r="F480" s="36"/>
      <c r="G480" s="35" t="s">
        <v>48</v>
      </c>
      <c r="H480" s="51" t="s">
        <v>97</v>
      </c>
      <c r="I480" s="34" t="s">
        <v>243</v>
      </c>
      <c r="J480" s="52" t="s">
        <v>882</v>
      </c>
      <c r="K480" s="52" t="s">
        <v>60</v>
      </c>
      <c r="L480" s="51" t="s">
        <v>61</v>
      </c>
      <c r="M480" s="51" t="s">
        <v>117</v>
      </c>
      <c r="N480" s="36" t="s">
        <v>50</v>
      </c>
      <c r="O480" s="51"/>
      <c r="P480" s="51" t="s">
        <v>1162</v>
      </c>
      <c r="Q480" s="37"/>
      <c r="R480" s="37"/>
      <c r="S480" s="35" t="s">
        <v>96</v>
      </c>
      <c r="T480" s="38">
        <f>+(16*190000+450000+(1293526+929210+1350000+12*1022001/14)*1.07)*1.23</f>
        <v>10147682.577685714</v>
      </c>
      <c r="U480" s="39"/>
      <c r="V480" s="131"/>
      <c r="W480" s="38">
        <v>0</v>
      </c>
      <c r="X480" s="38">
        <v>0</v>
      </c>
      <c r="Y480" s="38">
        <v>0</v>
      </c>
      <c r="Z480" s="38">
        <v>0</v>
      </c>
      <c r="AA480" s="91">
        <v>0</v>
      </c>
      <c r="AB480" s="91">
        <f>+T480*0.235*0.3</f>
        <v>715411.62172684271</v>
      </c>
      <c r="AC480" s="91">
        <f>+T480-AB480-AD480</f>
        <v>8823410.0012977291</v>
      </c>
      <c r="AD480" s="91">
        <f>+T480*0.06</f>
        <v>608860.95466114278</v>
      </c>
      <c r="AE480" s="91">
        <v>0</v>
      </c>
      <c r="AF480" s="91">
        <f>+T480*0.01</f>
        <v>101476.82577685713</v>
      </c>
      <c r="AG480" s="204">
        <v>0</v>
      </c>
    </row>
    <row r="481" spans="1:34" s="103" customFormat="1" ht="90" customHeight="1">
      <c r="A481" s="102">
        <f t="shared" si="71"/>
        <v>460</v>
      </c>
      <c r="B481" s="52"/>
      <c r="C481" s="51" t="s">
        <v>1121</v>
      </c>
      <c r="D481" s="35" t="s">
        <v>73</v>
      </c>
      <c r="E481" s="35">
        <v>800005454</v>
      </c>
      <c r="F481" s="36"/>
      <c r="G481" s="35" t="s">
        <v>48</v>
      </c>
      <c r="H481" s="51" t="s">
        <v>97</v>
      </c>
      <c r="I481" s="34" t="s">
        <v>890</v>
      </c>
      <c r="J481" s="52" t="s">
        <v>882</v>
      </c>
      <c r="K481" s="52" t="s">
        <v>60</v>
      </c>
      <c r="L481" s="51" t="s">
        <v>61</v>
      </c>
      <c r="M481" s="51" t="s">
        <v>117</v>
      </c>
      <c r="N481" s="36" t="s">
        <v>50</v>
      </c>
      <c r="O481" s="51"/>
      <c r="P481" s="51" t="s">
        <v>1163</v>
      </c>
      <c r="Q481" s="37"/>
      <c r="R481" s="37"/>
      <c r="S481" s="35" t="s">
        <v>96</v>
      </c>
      <c r="T481" s="38">
        <f>+(16*190000+450000+270000+(2097122+1293526+929210+1350713+1350000+12*1022001/14+150000+1050000)*1.07)*1.23</f>
        <v>16596798.221185718</v>
      </c>
      <c r="U481" s="39"/>
      <c r="V481" s="131"/>
      <c r="W481" s="38">
        <v>0</v>
      </c>
      <c r="X481" s="38">
        <v>0</v>
      </c>
      <c r="Y481" s="38">
        <v>0</v>
      </c>
      <c r="Z481" s="38">
        <v>0</v>
      </c>
      <c r="AA481" s="91">
        <f>+T481*0.235*0.3</f>
        <v>1170074.2745935929</v>
      </c>
      <c r="AB481" s="91">
        <f>+T481-AA481-AC481</f>
        <v>14430916.053320982</v>
      </c>
      <c r="AC481" s="91">
        <f>+T481*0.06</f>
        <v>995807.89327114308</v>
      </c>
      <c r="AD481" s="91">
        <v>0</v>
      </c>
      <c r="AE481" s="91">
        <f>+T481*0.01</f>
        <v>165967.98221185719</v>
      </c>
      <c r="AF481" s="91">
        <v>0</v>
      </c>
      <c r="AG481" s="204">
        <f>+AE481*1.15</f>
        <v>190863.17954363575</v>
      </c>
    </row>
    <row r="482" spans="1:34" s="103" customFormat="1" ht="90" customHeight="1">
      <c r="A482" s="102">
        <f t="shared" si="71"/>
        <v>461</v>
      </c>
      <c r="B482" s="52"/>
      <c r="C482" s="51" t="s">
        <v>1122</v>
      </c>
      <c r="D482" s="35" t="s">
        <v>1067</v>
      </c>
      <c r="E482" s="35">
        <v>800022095</v>
      </c>
      <c r="F482" s="36"/>
      <c r="G482" s="35" t="s">
        <v>48</v>
      </c>
      <c r="H482" s="51" t="s">
        <v>97</v>
      </c>
      <c r="I482" s="34" t="s">
        <v>243</v>
      </c>
      <c r="J482" s="52" t="s">
        <v>882</v>
      </c>
      <c r="K482" s="52" t="s">
        <v>60</v>
      </c>
      <c r="L482" s="51" t="s">
        <v>61</v>
      </c>
      <c r="M482" s="51" t="s">
        <v>117</v>
      </c>
      <c r="N482" s="36" t="s">
        <v>50</v>
      </c>
      <c r="O482" s="51"/>
      <c r="P482" s="51" t="s">
        <v>1165</v>
      </c>
      <c r="Q482" s="37"/>
      <c r="R482" s="37"/>
      <c r="S482" s="35" t="s">
        <v>96</v>
      </c>
      <c r="T482" s="38">
        <f>+(16*190000+(1823640+3658606+1293526+929210+1350000+12*1022001/14)*1.07)*1.23</f>
        <v>16809366.538285714</v>
      </c>
      <c r="U482" s="39"/>
      <c r="V482" s="131"/>
      <c r="W482" s="38">
        <v>0</v>
      </c>
      <c r="X482" s="38">
        <v>0</v>
      </c>
      <c r="Y482" s="38">
        <v>0</v>
      </c>
      <c r="Z482" s="38">
        <v>0</v>
      </c>
      <c r="AA482" s="91">
        <v>0</v>
      </c>
      <c r="AB482" s="91">
        <v>0</v>
      </c>
      <c r="AC482" s="91">
        <v>0</v>
      </c>
      <c r="AD482" s="91">
        <v>0</v>
      </c>
      <c r="AE482" s="91">
        <v>0</v>
      </c>
      <c r="AF482" s="91">
        <f>+T482*0.235*0.3</f>
        <v>1185060.3409491426</v>
      </c>
      <c r="AG482" s="204">
        <f>+T482-AF482-AH482</f>
        <v>14615744.205039429</v>
      </c>
      <c r="AH482" s="103">
        <f>+T482*0.06</f>
        <v>1008561.9922971427</v>
      </c>
    </row>
    <row r="483" spans="1:34" s="103" customFormat="1" ht="90" customHeight="1">
      <c r="A483" s="102">
        <f t="shared" si="71"/>
        <v>462</v>
      </c>
      <c r="B483" s="52"/>
      <c r="C483" s="51" t="s">
        <v>1123</v>
      </c>
      <c r="D483" s="35" t="s">
        <v>1068</v>
      </c>
      <c r="E483" s="35">
        <v>800015602</v>
      </c>
      <c r="F483" s="36"/>
      <c r="G483" s="35" t="s">
        <v>48</v>
      </c>
      <c r="H483" s="51" t="s">
        <v>97</v>
      </c>
      <c r="I483" s="34" t="s">
        <v>1136</v>
      </c>
      <c r="J483" s="52" t="s">
        <v>1137</v>
      </c>
      <c r="K483" s="52"/>
      <c r="L483" s="51" t="s">
        <v>61</v>
      </c>
      <c r="M483" s="51" t="s">
        <v>117</v>
      </c>
      <c r="N483" s="36" t="s">
        <v>50</v>
      </c>
      <c r="O483" s="51"/>
      <c r="P483" s="51" t="s">
        <v>1166</v>
      </c>
      <c r="Q483" s="37"/>
      <c r="R483" s="37"/>
      <c r="S483" s="35" t="s">
        <v>96</v>
      </c>
      <c r="T483" s="38">
        <f>+(20*190000+24*10000+(1823640+3658606+1293526+929210+1350000)*1.07)*1.23</f>
        <v>16886461.810199998</v>
      </c>
      <c r="U483" s="39"/>
      <c r="V483" s="131"/>
      <c r="W483" s="38">
        <v>0</v>
      </c>
      <c r="X483" s="38">
        <v>0</v>
      </c>
      <c r="Y483" s="38">
        <v>0</v>
      </c>
      <c r="Z483" s="38">
        <v>0</v>
      </c>
      <c r="AA483" s="91">
        <f>+T483*0.235*0.3</f>
        <v>1190495.5576190997</v>
      </c>
      <c r="AB483" s="91">
        <f>+T483-AA483-AC483</f>
        <v>14682778.543968897</v>
      </c>
      <c r="AC483" s="91">
        <f>+T483*0.06</f>
        <v>1013187.7086119999</v>
      </c>
      <c r="AD483" s="91">
        <v>0</v>
      </c>
      <c r="AE483" s="91">
        <f>+T483*0.01</f>
        <v>168864.61810199998</v>
      </c>
      <c r="AF483" s="91">
        <v>0</v>
      </c>
      <c r="AG483" s="204">
        <f>+AE483*1.15</f>
        <v>194194.31081729996</v>
      </c>
    </row>
    <row r="484" spans="1:34" s="103" customFormat="1" ht="90" customHeight="1">
      <c r="A484" s="102">
        <f t="shared" si="71"/>
        <v>463</v>
      </c>
      <c r="B484" s="52"/>
      <c r="C484" s="51" t="s">
        <v>1124</v>
      </c>
      <c r="D484" s="35" t="s">
        <v>1068</v>
      </c>
      <c r="E484" s="35">
        <v>800012575</v>
      </c>
      <c r="F484" s="36"/>
      <c r="G484" s="35" t="s">
        <v>48</v>
      </c>
      <c r="H484" s="51" t="s">
        <v>97</v>
      </c>
      <c r="I484" s="34" t="s">
        <v>563</v>
      </c>
      <c r="J484" s="52" t="s">
        <v>550</v>
      </c>
      <c r="K484" s="52"/>
      <c r="L484" s="51" t="s">
        <v>61</v>
      </c>
      <c r="M484" s="51" t="s">
        <v>117</v>
      </c>
      <c r="N484" s="36" t="s">
        <v>50</v>
      </c>
      <c r="O484" s="51"/>
      <c r="P484" s="51" t="s">
        <v>1246</v>
      </c>
      <c r="Q484" s="37"/>
      <c r="R484" s="37"/>
      <c r="S484" s="35" t="s">
        <v>96</v>
      </c>
      <c r="T484" s="38">
        <f>+(23*190000+18*10000+(929210+1350000)*1.07)*1.23</f>
        <v>8596168.2809999995</v>
      </c>
      <c r="U484" s="39"/>
      <c r="V484" s="131"/>
      <c r="W484" s="38">
        <v>0</v>
      </c>
      <c r="X484" s="38">
        <v>0</v>
      </c>
      <c r="Y484" s="38">
        <v>0</v>
      </c>
      <c r="Z484" s="38">
        <v>0</v>
      </c>
      <c r="AA484" s="91">
        <f>+T484*0.235*0.3</f>
        <v>606029.8638104999</v>
      </c>
      <c r="AB484" s="91">
        <f>+T484-AA484</f>
        <v>7990138.4171894994</v>
      </c>
      <c r="AC484" s="91">
        <v>0</v>
      </c>
      <c r="AD484" s="91">
        <f>+T484*0.01</f>
        <v>85961.682809999998</v>
      </c>
      <c r="AE484" s="91">
        <v>0</v>
      </c>
      <c r="AF484" s="91">
        <f>+AD484*1.15</f>
        <v>98855.935231499985</v>
      </c>
      <c r="AG484" s="204">
        <v>0</v>
      </c>
    </row>
    <row r="485" spans="1:34" s="103" customFormat="1" ht="90" customHeight="1">
      <c r="A485" s="102">
        <f t="shared" si="71"/>
        <v>464</v>
      </c>
      <c r="B485" s="52"/>
      <c r="C485" s="51" t="s">
        <v>1125</v>
      </c>
      <c r="D485" s="35" t="s">
        <v>1068</v>
      </c>
      <c r="E485" s="35">
        <v>800029447</v>
      </c>
      <c r="F485" s="36"/>
      <c r="G485" s="35" t="s">
        <v>48</v>
      </c>
      <c r="H485" s="51" t="s">
        <v>97</v>
      </c>
      <c r="I485" s="34" t="s">
        <v>563</v>
      </c>
      <c r="J485" s="52" t="s">
        <v>550</v>
      </c>
      <c r="K485" s="52"/>
      <c r="L485" s="51" t="s">
        <v>61</v>
      </c>
      <c r="M485" s="51" t="s">
        <v>117</v>
      </c>
      <c r="N485" s="36" t="s">
        <v>50</v>
      </c>
      <c r="O485" s="51"/>
      <c r="P485" s="51" t="s">
        <v>1167</v>
      </c>
      <c r="Q485" s="37"/>
      <c r="R485" s="37"/>
      <c r="S485" s="35" t="s">
        <v>96</v>
      </c>
      <c r="T485" s="38">
        <f>+(20*190000+24*10000+(1823640+1714473+1293526+929210+16*1022001/14)*1.07)*1.23</f>
        <v>14088259.673014287</v>
      </c>
      <c r="U485" s="39"/>
      <c r="V485" s="131"/>
      <c r="W485" s="38">
        <v>0</v>
      </c>
      <c r="X485" s="38">
        <v>0</v>
      </c>
      <c r="Y485" s="38">
        <v>0</v>
      </c>
      <c r="Z485" s="38">
        <v>0</v>
      </c>
      <c r="AA485" s="91">
        <v>0</v>
      </c>
      <c r="AB485" s="91">
        <v>0</v>
      </c>
      <c r="AC485" s="91">
        <f>+T485*0.235*0.3</f>
        <v>993222.30694750708</v>
      </c>
      <c r="AD485" s="91">
        <f>+T485-AC485-AE485</f>
        <v>12249741.785685923</v>
      </c>
      <c r="AE485" s="91">
        <f>+T485*0.06</f>
        <v>845295.58038085722</v>
      </c>
      <c r="AF485" s="91">
        <v>0</v>
      </c>
      <c r="AG485" s="204">
        <f>+T485*0.01</f>
        <v>140882.59673014286</v>
      </c>
    </row>
    <row r="486" spans="1:34" s="103" customFormat="1" ht="90" customHeight="1">
      <c r="A486" s="102">
        <f t="shared" si="71"/>
        <v>465</v>
      </c>
      <c r="B486" s="52"/>
      <c r="C486" s="51" t="s">
        <v>1168</v>
      </c>
      <c r="D486" s="35" t="s">
        <v>1195</v>
      </c>
      <c r="E486" s="35">
        <v>800010058</v>
      </c>
      <c r="F486" s="36"/>
      <c r="G486" s="35" t="s">
        <v>48</v>
      </c>
      <c r="H486" s="51" t="s">
        <v>97</v>
      </c>
      <c r="I486" s="34" t="s">
        <v>547</v>
      </c>
      <c r="J486" s="52" t="s">
        <v>550</v>
      </c>
      <c r="K486" s="52"/>
      <c r="L486" s="51" t="s">
        <v>262</v>
      </c>
      <c r="M486" s="51" t="s">
        <v>298</v>
      </c>
      <c r="N486" s="36" t="s">
        <v>50</v>
      </c>
      <c r="O486" s="51"/>
      <c r="P486" s="51" t="s">
        <v>1201</v>
      </c>
      <c r="Q486" s="37"/>
      <c r="R486" s="37"/>
      <c r="S486" s="35" t="s">
        <v>52</v>
      </c>
      <c r="T486" s="38">
        <f>+(16*190000+270000*3+(929210+1050000+150000+1350000)*1.07)*1.23</f>
        <v>9314488.2809999995</v>
      </c>
      <c r="U486" s="39"/>
      <c r="V486" s="131"/>
      <c r="W486" s="38">
        <v>0</v>
      </c>
      <c r="X486" s="38">
        <f>+T486*0.35</f>
        <v>3260070.8983499995</v>
      </c>
      <c r="Y486" s="38">
        <f>+T486-X486</f>
        <v>6054417.38265</v>
      </c>
      <c r="Z486" s="38">
        <v>0</v>
      </c>
      <c r="AA486" s="91">
        <f>+T486*0.01</f>
        <v>93144.882809999996</v>
      </c>
      <c r="AB486" s="91">
        <v>0</v>
      </c>
      <c r="AC486" s="91">
        <f>+AA486*1.15</f>
        <v>107116.61523149999</v>
      </c>
      <c r="AD486" s="91">
        <v>0</v>
      </c>
      <c r="AE486" s="91">
        <f>+AC486*1.15</f>
        <v>123184.10751622498</v>
      </c>
      <c r="AF486" s="91">
        <v>0</v>
      </c>
      <c r="AG486" s="204">
        <f>+AE486*1.15</f>
        <v>141661.72364365871</v>
      </c>
    </row>
    <row r="487" spans="1:34" s="103" customFormat="1" ht="90" customHeight="1">
      <c r="A487" s="102">
        <f t="shared" si="71"/>
        <v>466</v>
      </c>
      <c r="B487" s="52"/>
      <c r="C487" s="51" t="s">
        <v>1169</v>
      </c>
      <c r="D487" s="35" t="s">
        <v>1068</v>
      </c>
      <c r="E487" s="35">
        <v>800017475</v>
      </c>
      <c r="F487" s="36"/>
      <c r="G487" s="35" t="s">
        <v>48</v>
      </c>
      <c r="H487" s="51" t="s">
        <v>97</v>
      </c>
      <c r="I487" s="34" t="s">
        <v>1196</v>
      </c>
      <c r="J487" s="52" t="s">
        <v>882</v>
      </c>
      <c r="K487" s="52" t="s">
        <v>60</v>
      </c>
      <c r="L487" s="51" t="s">
        <v>262</v>
      </c>
      <c r="M487" s="51" t="s">
        <v>298</v>
      </c>
      <c r="N487" s="36" t="s">
        <v>50</v>
      </c>
      <c r="O487" s="51"/>
      <c r="P487" s="51" t="s">
        <v>1232</v>
      </c>
      <c r="Q487" s="37"/>
      <c r="R487" s="37"/>
      <c r="S487" s="35" t="s">
        <v>96</v>
      </c>
      <c r="T487" s="38">
        <f>+(16*190000+450000+(12*1022001/14+750000+150000+1350000)*1.07)*1.23</f>
        <v>8406829.7280857135</v>
      </c>
      <c r="U487" s="39"/>
      <c r="V487" s="131"/>
      <c r="W487" s="38">
        <v>0</v>
      </c>
      <c r="X487" s="38">
        <v>0</v>
      </c>
      <c r="Y487" s="38">
        <v>0</v>
      </c>
      <c r="Z487" s="38">
        <v>0</v>
      </c>
      <c r="AA487" s="91">
        <v>0</v>
      </c>
      <c r="AB487" s="91">
        <f>+T487*0.235*0.3</f>
        <v>592681.49583004275</v>
      </c>
      <c r="AC487" s="91">
        <f>+T487-AB487-AD487</f>
        <v>7309738.4485705281</v>
      </c>
      <c r="AD487" s="91">
        <f>+T487*0.06</f>
        <v>504409.78368514281</v>
      </c>
      <c r="AE487" s="91">
        <v>0</v>
      </c>
      <c r="AF487" s="91">
        <f>+T487*0.01</f>
        <v>84068.297280857136</v>
      </c>
      <c r="AG487" s="204">
        <v>0</v>
      </c>
    </row>
    <row r="488" spans="1:34" s="103" customFormat="1" ht="90" customHeight="1">
      <c r="A488" s="102">
        <f t="shared" si="71"/>
        <v>467</v>
      </c>
      <c r="B488" s="52"/>
      <c r="C488" s="51" t="s">
        <v>1170</v>
      </c>
      <c r="D488" s="35" t="s">
        <v>1069</v>
      </c>
      <c r="E488" s="35">
        <v>800002873</v>
      </c>
      <c r="F488" s="36"/>
      <c r="G488" s="35" t="s">
        <v>48</v>
      </c>
      <c r="H488" s="51" t="s">
        <v>97</v>
      </c>
      <c r="I488" s="34" t="s">
        <v>1197</v>
      </c>
      <c r="J488" s="52" t="s">
        <v>557</v>
      </c>
      <c r="K488" s="52" t="s">
        <v>60</v>
      </c>
      <c r="L488" s="51" t="s">
        <v>262</v>
      </c>
      <c r="M488" s="51" t="s">
        <v>298</v>
      </c>
      <c r="N488" s="36" t="s">
        <v>50</v>
      </c>
      <c r="O488" s="51"/>
      <c r="P488" s="51" t="s">
        <v>1202</v>
      </c>
      <c r="Q488" s="37"/>
      <c r="R488" s="37"/>
      <c r="S488" s="35" t="s">
        <v>52</v>
      </c>
      <c r="T488" s="38">
        <f>+(16*190000+450000*2+270000*2+(929210+12*1022001/14+750000+150000+1350000)*1.07)*1.23</f>
        <v>10847463.009085715</v>
      </c>
      <c r="U488" s="39"/>
      <c r="V488" s="131"/>
      <c r="W488" s="38">
        <v>0</v>
      </c>
      <c r="X488" s="38">
        <f>+T488*0.35</f>
        <v>3796612.0531799998</v>
      </c>
      <c r="Y488" s="38">
        <f>+T488-X488</f>
        <v>7050850.955905715</v>
      </c>
      <c r="Z488" s="38">
        <v>0</v>
      </c>
      <c r="AA488" s="91">
        <f>+T488*0.01</f>
        <v>108474.63009085716</v>
      </c>
      <c r="AB488" s="91">
        <v>0</v>
      </c>
      <c r="AC488" s="91">
        <f>+AA488*1.15</f>
        <v>124745.82460448572</v>
      </c>
      <c r="AD488" s="91">
        <v>0</v>
      </c>
      <c r="AE488" s="91">
        <f>+AC488*1.15</f>
        <v>143457.69829515857</v>
      </c>
      <c r="AF488" s="91">
        <v>0</v>
      </c>
      <c r="AG488" s="204">
        <f>+AE488*1.15</f>
        <v>164976.35303943235</v>
      </c>
    </row>
    <row r="489" spans="1:34" s="103" customFormat="1" ht="90" customHeight="1">
      <c r="A489" s="102">
        <f t="shared" si="71"/>
        <v>468</v>
      </c>
      <c r="B489" s="52"/>
      <c r="C489" s="51" t="s">
        <v>1236</v>
      </c>
      <c r="D489" s="35" t="s">
        <v>73</v>
      </c>
      <c r="E489" s="35">
        <v>800001636</v>
      </c>
      <c r="F489" s="36"/>
      <c r="G489" s="35" t="s">
        <v>48</v>
      </c>
      <c r="H489" s="51" t="s">
        <v>97</v>
      </c>
      <c r="I489" s="34" t="s">
        <v>553</v>
      </c>
      <c r="J489" s="52" t="s">
        <v>553</v>
      </c>
      <c r="K489" s="52"/>
      <c r="L489" s="51" t="s">
        <v>262</v>
      </c>
      <c r="M489" s="51" t="s">
        <v>298</v>
      </c>
      <c r="N489" s="36" t="s">
        <v>50</v>
      </c>
      <c r="O489" s="51"/>
      <c r="P489" s="51" t="s">
        <v>1203</v>
      </c>
      <c r="Q489" s="37"/>
      <c r="R489" s="37"/>
      <c r="S489" s="35" t="s">
        <v>52</v>
      </c>
      <c r="T489" s="38">
        <f>+(33*190000+450000*2+270000+35*10000+(1823640+929210+1350000+150000+750000)*1.07)*1.23</f>
        <v>16165950.885</v>
      </c>
      <c r="U489" s="39"/>
      <c r="V489" s="131"/>
      <c r="W489" s="38">
        <v>0</v>
      </c>
      <c r="X489" s="38">
        <f>+T489*0.35</f>
        <v>5658082.80975</v>
      </c>
      <c r="Y489" s="38">
        <f>+T489-X489</f>
        <v>10507868.07525</v>
      </c>
      <c r="Z489" s="38">
        <v>0</v>
      </c>
      <c r="AA489" s="91">
        <f>+T489*0.01</f>
        <v>161659.50885000001</v>
      </c>
      <c r="AB489" s="91">
        <v>0</v>
      </c>
      <c r="AC489" s="91">
        <f>+AA489*1.15</f>
        <v>185908.43517750001</v>
      </c>
      <c r="AD489" s="91">
        <v>0</v>
      </c>
      <c r="AE489" s="91">
        <f>+AC489*1.15</f>
        <v>213794.70045412501</v>
      </c>
      <c r="AF489" s="91">
        <v>0</v>
      </c>
      <c r="AG489" s="204">
        <f>+AE489*1.15</f>
        <v>245863.90552224373</v>
      </c>
    </row>
    <row r="490" spans="1:34" s="103" customFormat="1" ht="90" customHeight="1">
      <c r="A490" s="102">
        <f t="shared" si="71"/>
        <v>469</v>
      </c>
      <c r="B490" s="52"/>
      <c r="C490" s="51" t="s">
        <v>1171</v>
      </c>
      <c r="D490" s="35" t="s">
        <v>1068</v>
      </c>
      <c r="E490" s="35">
        <v>800020776</v>
      </c>
      <c r="F490" s="36"/>
      <c r="G490" s="35" t="s">
        <v>48</v>
      </c>
      <c r="H490" s="51" t="s">
        <v>97</v>
      </c>
      <c r="I490" s="34" t="s">
        <v>845</v>
      </c>
      <c r="J490" s="52" t="s">
        <v>550</v>
      </c>
      <c r="K490" s="52"/>
      <c r="L490" s="51" t="s">
        <v>262</v>
      </c>
      <c r="M490" s="51" t="s">
        <v>298</v>
      </c>
      <c r="N490" s="36" t="s">
        <v>50</v>
      </c>
      <c r="O490" s="51"/>
      <c r="P490" s="51" t="s">
        <v>1204</v>
      </c>
      <c r="Q490" s="37"/>
      <c r="R490" s="37"/>
      <c r="S490" s="35" t="s">
        <v>96</v>
      </c>
      <c r="T490" s="38">
        <f>+(25*190000+450000*2+270000+35*10000+(1823640+929210+1350000+150000+750000)*1.07)*1.23</f>
        <v>14296350.885</v>
      </c>
      <c r="U490" s="39"/>
      <c r="V490" s="131"/>
      <c r="W490" s="38">
        <v>0</v>
      </c>
      <c r="X490" s="38">
        <v>0</v>
      </c>
      <c r="Y490" s="38">
        <v>0</v>
      </c>
      <c r="Z490" s="38">
        <v>0</v>
      </c>
      <c r="AA490" s="91">
        <v>0</v>
      </c>
      <c r="AB490" s="91">
        <f>+T490*0.235*0.3</f>
        <v>1007892.7373924998</v>
      </c>
      <c r="AC490" s="91">
        <f>+T490-AB490-AD490</f>
        <v>12430677.094507501</v>
      </c>
      <c r="AD490" s="91">
        <f>+T490*0.06</f>
        <v>857781.0530999999</v>
      </c>
      <c r="AE490" s="91">
        <v>0</v>
      </c>
      <c r="AF490" s="91">
        <f>+T490*0.01</f>
        <v>142963.50885000001</v>
      </c>
      <c r="AG490" s="204">
        <v>0</v>
      </c>
    </row>
    <row r="491" spans="1:34" s="103" customFormat="1" ht="90" customHeight="1">
      <c r="A491" s="102">
        <f t="shared" si="71"/>
        <v>470</v>
      </c>
      <c r="B491" s="52"/>
      <c r="C491" s="51" t="s">
        <v>1172</v>
      </c>
      <c r="D491" s="35" t="s">
        <v>1068</v>
      </c>
      <c r="E491" s="35">
        <v>800026039</v>
      </c>
      <c r="F491" s="36"/>
      <c r="G491" s="35" t="s">
        <v>48</v>
      </c>
      <c r="H491" s="51" t="s">
        <v>97</v>
      </c>
      <c r="I491" s="34" t="s">
        <v>1135</v>
      </c>
      <c r="J491" s="52" t="s">
        <v>882</v>
      </c>
      <c r="K491" s="52" t="s">
        <v>60</v>
      </c>
      <c r="L491" s="51" t="s">
        <v>262</v>
      </c>
      <c r="M491" s="51" t="s">
        <v>298</v>
      </c>
      <c r="N491" s="36" t="s">
        <v>50</v>
      </c>
      <c r="O491" s="51"/>
      <c r="P491" s="51" t="s">
        <v>1205</v>
      </c>
      <c r="Q491" s="37"/>
      <c r="R491" s="37"/>
      <c r="S491" s="35" t="s">
        <v>96</v>
      </c>
      <c r="T491" s="38">
        <f>+(16*190000+450000+(1293526+929210+750000+150000+1350000)*1.07)*1.23</f>
        <v>10179267.8496</v>
      </c>
      <c r="U491" s="39"/>
      <c r="V491" s="131"/>
      <c r="W491" s="38">
        <v>0</v>
      </c>
      <c r="X491" s="38">
        <v>0</v>
      </c>
      <c r="Y491" s="38">
        <v>0</v>
      </c>
      <c r="Z491" s="38">
        <v>0</v>
      </c>
      <c r="AA491" s="91">
        <v>0</v>
      </c>
      <c r="AB491" s="91">
        <f>+T491*0.235*0.3</f>
        <v>717638.38339680003</v>
      </c>
      <c r="AC491" s="91">
        <f>+T491-AB491-AD491</f>
        <v>8850873.3952271994</v>
      </c>
      <c r="AD491" s="91">
        <f>+T491*0.06</f>
        <v>610756.07097600005</v>
      </c>
      <c r="AE491" s="91">
        <v>0</v>
      </c>
      <c r="AF491" s="91">
        <f>+T491*0.01</f>
        <v>101792.67849600001</v>
      </c>
      <c r="AG491" s="204">
        <v>0</v>
      </c>
    </row>
    <row r="492" spans="1:34" s="103" customFormat="1" ht="90" customHeight="1">
      <c r="A492" s="102">
        <f t="shared" si="71"/>
        <v>471</v>
      </c>
      <c r="B492" s="52"/>
      <c r="C492" s="51" t="s">
        <v>1173</v>
      </c>
      <c r="D492" s="35" t="s">
        <v>1068</v>
      </c>
      <c r="E492" s="35">
        <v>800003079</v>
      </c>
      <c r="F492" s="36"/>
      <c r="G492" s="35" t="s">
        <v>48</v>
      </c>
      <c r="H492" s="51" t="s">
        <v>97</v>
      </c>
      <c r="I492" s="34" t="s">
        <v>1136</v>
      </c>
      <c r="J492" s="52" t="s">
        <v>1136</v>
      </c>
      <c r="K492" s="52"/>
      <c r="L492" s="51" t="s">
        <v>262</v>
      </c>
      <c r="M492" s="51" t="s">
        <v>298</v>
      </c>
      <c r="N492" s="36" t="s">
        <v>50</v>
      </c>
      <c r="O492" s="51"/>
      <c r="P492" s="51" t="s">
        <v>1206</v>
      </c>
      <c r="Q492" s="37"/>
      <c r="R492" s="37"/>
      <c r="S492" s="35" t="s">
        <v>52</v>
      </c>
      <c r="T492" s="38">
        <f>+(35*190000+450000+270000+17*10000+(929210+1350713+1350000+150000+1050000)*1.07)*1.23</f>
        <v>15630861.6603</v>
      </c>
      <c r="U492" s="39"/>
      <c r="V492" s="131"/>
      <c r="W492" s="38">
        <v>0</v>
      </c>
      <c r="X492" s="38">
        <f>+T492*0.35</f>
        <v>5470801.5811049994</v>
      </c>
      <c r="Y492" s="38">
        <f>+T492-X492</f>
        <v>10160060.079195</v>
      </c>
      <c r="Z492" s="38">
        <v>0</v>
      </c>
      <c r="AA492" s="91">
        <f>+T492*0.01</f>
        <v>156308.616603</v>
      </c>
      <c r="AB492" s="91">
        <v>0</v>
      </c>
      <c r="AC492" s="91">
        <f>+AA492*1.15</f>
        <v>179754.90909345</v>
      </c>
      <c r="AD492" s="91">
        <v>0</v>
      </c>
      <c r="AE492" s="91">
        <f>+AC492*1.15</f>
        <v>206718.14545746747</v>
      </c>
      <c r="AF492" s="91">
        <v>0</v>
      </c>
      <c r="AG492" s="204">
        <f>+AE492*1.15</f>
        <v>237725.86727608758</v>
      </c>
    </row>
    <row r="493" spans="1:34" s="103" customFormat="1" ht="90" customHeight="1">
      <c r="A493" s="102">
        <f t="shared" si="71"/>
        <v>472</v>
      </c>
      <c r="B493" s="52"/>
      <c r="C493" s="51" t="s">
        <v>1174</v>
      </c>
      <c r="D493" s="35" t="s">
        <v>65</v>
      </c>
      <c r="E493" s="35">
        <v>800014753</v>
      </c>
      <c r="F493" s="36"/>
      <c r="G493" s="35" t="s">
        <v>48</v>
      </c>
      <c r="H493" s="51" t="s">
        <v>97</v>
      </c>
      <c r="I493" s="34" t="s">
        <v>1129</v>
      </c>
      <c r="J493" s="52" t="s">
        <v>557</v>
      </c>
      <c r="K493" s="52" t="s">
        <v>60</v>
      </c>
      <c r="L493" s="51" t="s">
        <v>262</v>
      </c>
      <c r="M493" s="51" t="s">
        <v>298</v>
      </c>
      <c r="N493" s="36" t="s">
        <v>50</v>
      </c>
      <c r="O493" s="51"/>
      <c r="P493" s="51" t="s">
        <v>1207</v>
      </c>
      <c r="Q493" s="37"/>
      <c r="R493" s="37"/>
      <c r="S493" s="35" t="s">
        <v>96</v>
      </c>
      <c r="T493" s="38">
        <f>+(10*190000+(3658606+1293526+929210+12*1022001/14+750000+150000+1350000)*1.07)*1.23</f>
        <v>14191563.934285715</v>
      </c>
      <c r="U493" s="39"/>
      <c r="V493" s="131"/>
      <c r="W493" s="38">
        <v>0</v>
      </c>
      <c r="X493" s="38">
        <v>0</v>
      </c>
      <c r="Y493" s="132">
        <f>+T493*0.235*0.3</f>
        <v>1000505.2573671428</v>
      </c>
      <c r="Z493" s="38">
        <f>+T493-Y493-AA493</f>
        <v>12481480.480204286</v>
      </c>
      <c r="AA493" s="91">
        <f>+T493*0.05</f>
        <v>709578.19671428576</v>
      </c>
      <c r="AB493" s="91">
        <v>0</v>
      </c>
      <c r="AC493" s="91">
        <f>+AA493*0.1</f>
        <v>70957.819671428573</v>
      </c>
      <c r="AD493" s="91">
        <v>0</v>
      </c>
      <c r="AE493" s="91">
        <f>+AC493*1.15</f>
        <v>81601.492622142847</v>
      </c>
      <c r="AF493" s="91">
        <v>0</v>
      </c>
      <c r="AG493" s="204">
        <f>+AE493*1.15</f>
        <v>93841.716515464272</v>
      </c>
    </row>
    <row r="494" spans="1:34" s="103" customFormat="1" ht="90" customHeight="1">
      <c r="A494" s="102">
        <f t="shared" si="71"/>
        <v>473</v>
      </c>
      <c r="B494" s="52"/>
      <c r="C494" s="51" t="s">
        <v>1175</v>
      </c>
      <c r="D494" s="35" t="s">
        <v>1068</v>
      </c>
      <c r="E494" s="35">
        <v>800021261</v>
      </c>
      <c r="F494" s="36"/>
      <c r="G494" s="35" t="s">
        <v>48</v>
      </c>
      <c r="H494" s="51" t="s">
        <v>97</v>
      </c>
      <c r="I494" s="34" t="s">
        <v>563</v>
      </c>
      <c r="J494" s="52" t="s">
        <v>550</v>
      </c>
      <c r="K494" s="52"/>
      <c r="L494" s="51" t="s">
        <v>262</v>
      </c>
      <c r="M494" s="51" t="s">
        <v>298</v>
      </c>
      <c r="N494" s="36" t="s">
        <v>50</v>
      </c>
      <c r="O494" s="51"/>
      <c r="P494" s="51" t="s">
        <v>1208</v>
      </c>
      <c r="Q494" s="37"/>
      <c r="R494" s="37"/>
      <c r="S494" s="35" t="s">
        <v>96</v>
      </c>
      <c r="T494" s="38">
        <f>+(24*190000+(3658606+929210+1293526+750000+150000)*1.07)*1.23</f>
        <v>14533724.206200002</v>
      </c>
      <c r="U494" s="39"/>
      <c r="V494" s="131"/>
      <c r="W494" s="38">
        <v>0</v>
      </c>
      <c r="X494" s="38">
        <v>0</v>
      </c>
      <c r="Y494" s="38">
        <v>0</v>
      </c>
      <c r="Z494" s="38">
        <v>0</v>
      </c>
      <c r="AA494" s="91">
        <v>0</v>
      </c>
      <c r="AB494" s="91">
        <f>+T494*0.235*0.3</f>
        <v>1024627.5565371</v>
      </c>
      <c r="AC494" s="91">
        <f>+T494-AB494-AD494</f>
        <v>12637073.197290903</v>
      </c>
      <c r="AD494" s="91">
        <f>+T494*0.06</f>
        <v>872023.45237200009</v>
      </c>
      <c r="AE494" s="91">
        <v>0</v>
      </c>
      <c r="AF494" s="91">
        <f>+T494*0.01</f>
        <v>145337.24206200003</v>
      </c>
      <c r="AG494" s="204">
        <v>0</v>
      </c>
    </row>
    <row r="495" spans="1:34" s="103" customFormat="1" ht="90" customHeight="1">
      <c r="A495" s="102">
        <f t="shared" si="71"/>
        <v>474</v>
      </c>
      <c r="B495" s="52"/>
      <c r="C495" s="51" t="s">
        <v>1176</v>
      </c>
      <c r="D495" s="35" t="s">
        <v>1069</v>
      </c>
      <c r="E495" s="35">
        <v>800002907</v>
      </c>
      <c r="F495" s="36"/>
      <c r="G495" s="35" t="s">
        <v>48</v>
      </c>
      <c r="H495" s="51" t="s">
        <v>97</v>
      </c>
      <c r="I495" s="34" t="s">
        <v>1196</v>
      </c>
      <c r="J495" s="52" t="s">
        <v>882</v>
      </c>
      <c r="K495" s="52" t="s">
        <v>60</v>
      </c>
      <c r="L495" s="51" t="s">
        <v>262</v>
      </c>
      <c r="M495" s="51" t="s">
        <v>298</v>
      </c>
      <c r="N495" s="36" t="s">
        <v>50</v>
      </c>
      <c r="O495" s="51"/>
      <c r="P495" s="51" t="s">
        <v>1209</v>
      </c>
      <c r="Q495" s="37"/>
      <c r="R495" s="37"/>
      <c r="S495" s="35" t="s">
        <v>96</v>
      </c>
      <c r="T495" s="38">
        <f>+((16*190000+450000+24*10000+270000)+(1293526+750000+150000+1350000)*1.07)*1.23</f>
        <v>9583634.5686000008</v>
      </c>
      <c r="U495" s="39"/>
      <c r="V495" s="131"/>
      <c r="W495" s="38">
        <v>0</v>
      </c>
      <c r="X495" s="38">
        <v>0</v>
      </c>
      <c r="Y495" s="38">
        <v>0</v>
      </c>
      <c r="Z495" s="38">
        <v>0</v>
      </c>
      <c r="AA495" s="91">
        <f>+T495*0.235*0.3</f>
        <v>675646.23708629992</v>
      </c>
      <c r="AB495" s="91">
        <f>+T495-AA495-AC495</f>
        <v>8332970.257397701</v>
      </c>
      <c r="AC495" s="91">
        <f>+T495*0.06</f>
        <v>575018.07411599997</v>
      </c>
      <c r="AD495" s="91">
        <v>0</v>
      </c>
      <c r="AE495" s="91">
        <f>+T495*0.01</f>
        <v>95836.345686000015</v>
      </c>
      <c r="AF495" s="91">
        <v>0</v>
      </c>
      <c r="AG495" s="204">
        <f>+AE495*1.15</f>
        <v>110211.79753890001</v>
      </c>
    </row>
    <row r="496" spans="1:34" s="103" customFormat="1" ht="90" customHeight="1">
      <c r="A496" s="102">
        <f t="shared" si="71"/>
        <v>475</v>
      </c>
      <c r="B496" s="52"/>
      <c r="C496" s="51" t="s">
        <v>1177</v>
      </c>
      <c r="D496" s="35" t="s">
        <v>1069</v>
      </c>
      <c r="E496" s="35">
        <v>800000283</v>
      </c>
      <c r="F496" s="36"/>
      <c r="G496" s="35" t="s">
        <v>48</v>
      </c>
      <c r="H496" s="51" t="s">
        <v>97</v>
      </c>
      <c r="I496" s="34" t="s">
        <v>163</v>
      </c>
      <c r="J496" s="52" t="s">
        <v>550</v>
      </c>
      <c r="K496" s="52"/>
      <c r="L496" s="51" t="s">
        <v>262</v>
      </c>
      <c r="M496" s="51" t="s">
        <v>298</v>
      </c>
      <c r="N496" s="36" t="s">
        <v>50</v>
      </c>
      <c r="O496" s="51"/>
      <c r="P496" s="51" t="s">
        <v>1210</v>
      </c>
      <c r="Q496" s="37"/>
      <c r="R496" s="37"/>
      <c r="S496" s="35" t="s">
        <v>96</v>
      </c>
      <c r="T496" s="38">
        <f>+(28*190000+450000+270000*2+24*10000)*1.23</f>
        <v>8056500</v>
      </c>
      <c r="U496" s="39"/>
      <c r="V496" s="131"/>
      <c r="W496" s="38">
        <v>0</v>
      </c>
      <c r="X496" s="38">
        <v>0</v>
      </c>
      <c r="Y496" s="38">
        <v>0</v>
      </c>
      <c r="Z496" s="38">
        <v>0</v>
      </c>
      <c r="AA496" s="91">
        <v>0</v>
      </c>
      <c r="AB496" s="91">
        <f>+T496*0.235*0.3</f>
        <v>567983.25</v>
      </c>
      <c r="AC496" s="91">
        <f>+T496-AB496-AD496</f>
        <v>7005126.75</v>
      </c>
      <c r="AD496" s="91">
        <f>+T496*0.06</f>
        <v>483390</v>
      </c>
      <c r="AE496" s="91">
        <v>0</v>
      </c>
      <c r="AF496" s="91">
        <f>+T496*0.01</f>
        <v>80565</v>
      </c>
      <c r="AG496" s="204">
        <v>0</v>
      </c>
    </row>
    <row r="497" spans="1:33" s="103" customFormat="1" ht="90" customHeight="1">
      <c r="A497" s="102">
        <f t="shared" si="71"/>
        <v>476</v>
      </c>
      <c r="B497" s="52"/>
      <c r="C497" s="51" t="s">
        <v>1178</v>
      </c>
      <c r="D497" s="35" t="s">
        <v>1068</v>
      </c>
      <c r="E497" s="35">
        <v>800006833</v>
      </c>
      <c r="F497" s="36"/>
      <c r="G497" s="35" t="s">
        <v>48</v>
      </c>
      <c r="H497" s="51" t="s">
        <v>97</v>
      </c>
      <c r="I497" s="34" t="s">
        <v>845</v>
      </c>
      <c r="J497" s="52" t="s">
        <v>550</v>
      </c>
      <c r="K497" s="52"/>
      <c r="L497" s="51" t="s">
        <v>262</v>
      </c>
      <c r="M497" s="51" t="s">
        <v>298</v>
      </c>
      <c r="N497" s="36" t="s">
        <v>50</v>
      </c>
      <c r="O497" s="51"/>
      <c r="P497" s="51" t="s">
        <v>1211</v>
      </c>
      <c r="Q497" s="37"/>
      <c r="R497" s="37"/>
      <c r="S497" s="35" t="s">
        <v>96</v>
      </c>
      <c r="T497" s="38">
        <f>+((18*190000+450000+22*10000)+1350000+(1293526+929210+750000+150000)*1.07)*1.23</f>
        <v>10801032.849599998</v>
      </c>
      <c r="U497" s="39"/>
      <c r="V497" s="131"/>
      <c r="W497" s="38">
        <v>0</v>
      </c>
      <c r="X497" s="38">
        <v>0</v>
      </c>
      <c r="Y497" s="38">
        <f>+T497*0.235*0.3</f>
        <v>761472.81589679979</v>
      </c>
      <c r="Z497" s="38">
        <f>+T497-Y497</f>
        <v>10039560.033703199</v>
      </c>
      <c r="AA497" s="91">
        <v>0</v>
      </c>
      <c r="AB497" s="91">
        <f>+T497*0.01</f>
        <v>108010.32849599999</v>
      </c>
      <c r="AC497" s="91">
        <v>0</v>
      </c>
      <c r="AD497" s="91">
        <f>+AB497*1.15</f>
        <v>124211.87777039998</v>
      </c>
      <c r="AE497" s="91">
        <v>0</v>
      </c>
      <c r="AF497" s="91">
        <f>+AD497*1.15</f>
        <v>142843.65943595997</v>
      </c>
      <c r="AG497" s="204">
        <v>0</v>
      </c>
    </row>
    <row r="498" spans="1:33" s="103" customFormat="1" ht="90" customHeight="1">
      <c r="A498" s="102">
        <f t="shared" si="71"/>
        <v>477</v>
      </c>
      <c r="B498" s="52"/>
      <c r="C498" s="51" t="s">
        <v>1179</v>
      </c>
      <c r="D498" s="35" t="s">
        <v>1068</v>
      </c>
      <c r="E498" s="35">
        <v>800016246</v>
      </c>
      <c r="F498" s="36"/>
      <c r="G498" s="35" t="s">
        <v>48</v>
      </c>
      <c r="H498" s="51" t="s">
        <v>97</v>
      </c>
      <c r="I498" s="34" t="s">
        <v>563</v>
      </c>
      <c r="J498" s="52" t="s">
        <v>550</v>
      </c>
      <c r="K498" s="52"/>
      <c r="L498" s="51" t="s">
        <v>262</v>
      </c>
      <c r="M498" s="51" t="s">
        <v>298</v>
      </c>
      <c r="N498" s="36" t="s">
        <v>50</v>
      </c>
      <c r="O498" s="51"/>
      <c r="P498" s="51" t="s">
        <v>1212</v>
      </c>
      <c r="Q498" s="37"/>
      <c r="R498" s="37"/>
      <c r="S498" s="35" t="s">
        <v>96</v>
      </c>
      <c r="T498" s="38">
        <f>+((23*190000+450000+18*10000)+1350000+(929210+750000+150000)*1.07)*1.23</f>
        <v>10217923.280999999</v>
      </c>
      <c r="U498" s="39"/>
      <c r="V498" s="131"/>
      <c r="W498" s="38">
        <v>0</v>
      </c>
      <c r="X498" s="38">
        <v>0</v>
      </c>
      <c r="Y498" s="38">
        <v>0</v>
      </c>
      <c r="Z498" s="38">
        <v>0</v>
      </c>
      <c r="AA498" s="91">
        <f>+T498*0.235*0.3</f>
        <v>720363.59131049993</v>
      </c>
      <c r="AB498" s="91">
        <f>+T498-AA498-AC498</f>
        <v>9497559.6896895003</v>
      </c>
      <c r="AC498" s="91">
        <v>0</v>
      </c>
      <c r="AD498" s="91">
        <v>0</v>
      </c>
      <c r="AE498" s="91">
        <f>+T498*0.01</f>
        <v>102179.23281</v>
      </c>
      <c r="AF498" s="91">
        <v>0</v>
      </c>
      <c r="AG498" s="204">
        <f>+AE498*1.15</f>
        <v>117506.11773149999</v>
      </c>
    </row>
    <row r="499" spans="1:33" s="103" customFormat="1" ht="90" customHeight="1">
      <c r="A499" s="102">
        <f t="shared" si="71"/>
        <v>478</v>
      </c>
      <c r="B499" s="52"/>
      <c r="C499" s="51" t="s">
        <v>1180</v>
      </c>
      <c r="D499" s="35" t="s">
        <v>65</v>
      </c>
      <c r="E499" s="35">
        <v>800025908</v>
      </c>
      <c r="F499" s="36"/>
      <c r="G499" s="35" t="s">
        <v>48</v>
      </c>
      <c r="H499" s="51" t="s">
        <v>97</v>
      </c>
      <c r="I499" s="34" t="s">
        <v>1135</v>
      </c>
      <c r="J499" s="52" t="s">
        <v>882</v>
      </c>
      <c r="K499" s="52" t="s">
        <v>60</v>
      </c>
      <c r="L499" s="51" t="s">
        <v>262</v>
      </c>
      <c r="M499" s="51" t="s">
        <v>298</v>
      </c>
      <c r="N499" s="36" t="s">
        <v>50</v>
      </c>
      <c r="O499" s="51"/>
      <c r="P499" s="51" t="s">
        <v>1207</v>
      </c>
      <c r="Q499" s="37"/>
      <c r="R499" s="37"/>
      <c r="S499" s="35" t="s">
        <v>96</v>
      </c>
      <c r="T499" s="38">
        <f>+((10*190000)+(3658606+1293526+929210+12*1022001/14+750000+150000+13500000)*1.07)*1.23</f>
        <v>30182178.934285715</v>
      </c>
      <c r="U499" s="39"/>
      <c r="V499" s="131"/>
      <c r="W499" s="38">
        <v>0</v>
      </c>
      <c r="X499" s="38">
        <v>0</v>
      </c>
      <c r="Y499" s="38">
        <v>0</v>
      </c>
      <c r="Z499" s="38">
        <v>0</v>
      </c>
      <c r="AA499" s="91">
        <v>0</v>
      </c>
      <c r="AB499" s="91">
        <v>0</v>
      </c>
      <c r="AC499" s="91">
        <v>0</v>
      </c>
      <c r="AD499" s="91">
        <f>+T499*0.235*0.3</f>
        <v>2127843.6148671429</v>
      </c>
      <c r="AE499" s="91">
        <f>+T499-AF499-AF499</f>
        <v>26560317.462171428</v>
      </c>
      <c r="AF499" s="91">
        <f>+T499*0.06</f>
        <v>1810930.736057143</v>
      </c>
      <c r="AG499" s="204">
        <v>0</v>
      </c>
    </row>
    <row r="500" spans="1:33" s="103" customFormat="1" ht="90" customHeight="1">
      <c r="A500" s="102">
        <f t="shared" si="71"/>
        <v>479</v>
      </c>
      <c r="B500" s="52"/>
      <c r="C500" s="51" t="s">
        <v>1181</v>
      </c>
      <c r="D500" s="35" t="s">
        <v>1069</v>
      </c>
      <c r="E500" s="35">
        <v>800023986</v>
      </c>
      <c r="F500" s="36"/>
      <c r="G500" s="35" t="s">
        <v>48</v>
      </c>
      <c r="H500" s="51" t="s">
        <v>97</v>
      </c>
      <c r="I500" s="34" t="s">
        <v>877</v>
      </c>
      <c r="J500" s="52" t="s">
        <v>99</v>
      </c>
      <c r="K500" s="52"/>
      <c r="L500" s="51" t="s">
        <v>262</v>
      </c>
      <c r="M500" s="51" t="s">
        <v>298</v>
      </c>
      <c r="N500" s="36" t="s">
        <v>50</v>
      </c>
      <c r="O500" s="51"/>
      <c r="P500" s="51" t="s">
        <v>1213</v>
      </c>
      <c r="Q500" s="37"/>
      <c r="R500" s="37"/>
      <c r="S500" s="35" t="s">
        <v>52</v>
      </c>
      <c r="T500" s="38">
        <f>+((16*190000+450000+1350000+18*10000)+9292101.07*1.07)*1.23</f>
        <v>18403934.218227003</v>
      </c>
      <c r="U500" s="39"/>
      <c r="V500" s="131"/>
      <c r="W500" s="38">
        <v>0</v>
      </c>
      <c r="X500" s="38">
        <f>+T500*0.35</f>
        <v>6441376.9763794504</v>
      </c>
      <c r="Y500" s="38">
        <f>+T500-X500</f>
        <v>11962557.241847552</v>
      </c>
      <c r="Z500" s="38">
        <v>0</v>
      </c>
      <c r="AA500" s="91">
        <f>+T500*0.01</f>
        <v>184039.34218227002</v>
      </c>
      <c r="AB500" s="91">
        <v>0</v>
      </c>
      <c r="AC500" s="91">
        <f>+AA500*1.15</f>
        <v>211645.2435096105</v>
      </c>
      <c r="AD500" s="91">
        <v>0</v>
      </c>
      <c r="AE500" s="91">
        <f>+AC500*1.15</f>
        <v>243392.03003605205</v>
      </c>
      <c r="AF500" s="91">
        <v>0</v>
      </c>
      <c r="AG500" s="204">
        <f>+AE500*1.15</f>
        <v>279900.83454145986</v>
      </c>
    </row>
    <row r="501" spans="1:33" s="103" customFormat="1" ht="90" customHeight="1">
      <c r="A501" s="102">
        <f t="shared" si="71"/>
        <v>480</v>
      </c>
      <c r="B501" s="52"/>
      <c r="C501" s="51" t="s">
        <v>1182</v>
      </c>
      <c r="D501" s="35" t="s">
        <v>1068</v>
      </c>
      <c r="E501" s="35">
        <v>800024133</v>
      </c>
      <c r="F501" s="36"/>
      <c r="G501" s="35" t="s">
        <v>48</v>
      </c>
      <c r="H501" s="51" t="s">
        <v>97</v>
      </c>
      <c r="I501" s="34" t="s">
        <v>1136</v>
      </c>
      <c r="J501" s="52" t="s">
        <v>1136</v>
      </c>
      <c r="K501" s="52"/>
      <c r="L501" s="51" t="s">
        <v>262</v>
      </c>
      <c r="M501" s="51" t="s">
        <v>298</v>
      </c>
      <c r="N501" s="36" t="s">
        <v>50</v>
      </c>
      <c r="O501" s="51"/>
      <c r="P501" s="51" t="s">
        <v>1214</v>
      </c>
      <c r="Q501" s="37"/>
      <c r="R501" s="37"/>
      <c r="S501" s="35" t="s">
        <v>52</v>
      </c>
      <c r="T501" s="38">
        <f>+((30*190000+450000+22*10000)+(1823640+1293526+929210+750000+150000)*1.07)*1.23</f>
        <v>14345025.453600001</v>
      </c>
      <c r="U501" s="39"/>
      <c r="V501" s="131"/>
      <c r="W501" s="38">
        <v>0</v>
      </c>
      <c r="X501" s="38">
        <f>+T501*0.35</f>
        <v>5020758.90876</v>
      </c>
      <c r="Y501" s="38">
        <f>+T501-X501</f>
        <v>9324266.5448400006</v>
      </c>
      <c r="Z501" s="38">
        <v>0</v>
      </c>
      <c r="AA501" s="91">
        <f>+T501*0.01</f>
        <v>143450.25453600002</v>
      </c>
      <c r="AB501" s="91">
        <v>0</v>
      </c>
      <c r="AC501" s="91">
        <f>+AA501*1.15</f>
        <v>164967.7927164</v>
      </c>
      <c r="AD501" s="91">
        <v>0</v>
      </c>
      <c r="AE501" s="91">
        <f>+AC501*1.15</f>
        <v>189712.96162385997</v>
      </c>
      <c r="AF501" s="91">
        <v>0</v>
      </c>
      <c r="AG501" s="204">
        <f>+AE501*1.15</f>
        <v>218169.90586743894</v>
      </c>
    </row>
    <row r="502" spans="1:33" s="103" customFormat="1" ht="90" customHeight="1">
      <c r="A502" s="102">
        <f t="shared" si="71"/>
        <v>481</v>
      </c>
      <c r="B502" s="52"/>
      <c r="C502" s="51" t="s">
        <v>1183</v>
      </c>
      <c r="D502" s="35" t="s">
        <v>1068</v>
      </c>
      <c r="E502" s="35">
        <v>800007922</v>
      </c>
      <c r="F502" s="36"/>
      <c r="G502" s="35" t="s">
        <v>48</v>
      </c>
      <c r="H502" s="51" t="s">
        <v>97</v>
      </c>
      <c r="I502" s="34" t="s">
        <v>1198</v>
      </c>
      <c r="J502" s="52" t="s">
        <v>882</v>
      </c>
      <c r="K502" s="52" t="s">
        <v>60</v>
      </c>
      <c r="L502" s="51" t="s">
        <v>262</v>
      </c>
      <c r="M502" s="51" t="s">
        <v>298</v>
      </c>
      <c r="N502" s="36" t="s">
        <v>50</v>
      </c>
      <c r="O502" s="51"/>
      <c r="P502" s="51" t="s">
        <v>1215</v>
      </c>
      <c r="Q502" s="37"/>
      <c r="R502" s="37"/>
      <c r="S502" s="35" t="s">
        <v>96</v>
      </c>
      <c r="T502" s="38">
        <f>+((16*190000+450000)+(1293526+12*1022001/14+750000+150000+1350000)*1.07)*1.23</f>
        <v>10109239.296685714</v>
      </c>
      <c r="U502" s="39"/>
      <c r="V502" s="131"/>
      <c r="W502" s="38">
        <v>0</v>
      </c>
      <c r="X502" s="38">
        <v>0</v>
      </c>
      <c r="Y502" s="38">
        <v>0</v>
      </c>
      <c r="Z502" s="38">
        <v>0</v>
      </c>
      <c r="AA502" s="91">
        <v>0</v>
      </c>
      <c r="AB502" s="91">
        <f>+T502*0.235*0.3</f>
        <v>712701.37041634286</v>
      </c>
      <c r="AC502" s="91">
        <f>+T502-AB502-AD502</f>
        <v>8789983.568468228</v>
      </c>
      <c r="AD502" s="91">
        <f>+T502*0.06</f>
        <v>606554.35780114285</v>
      </c>
      <c r="AE502" s="91">
        <v>0</v>
      </c>
      <c r="AF502" s="91">
        <f>+T502*0.01</f>
        <v>101092.39296685715</v>
      </c>
      <c r="AG502" s="204">
        <v>0</v>
      </c>
    </row>
    <row r="503" spans="1:33" s="103" customFormat="1" ht="90" customHeight="1">
      <c r="A503" s="102">
        <f t="shared" si="71"/>
        <v>482</v>
      </c>
      <c r="B503" s="52"/>
      <c r="C503" s="51" t="s">
        <v>1184</v>
      </c>
      <c r="D503" s="35" t="s">
        <v>1068</v>
      </c>
      <c r="E503" s="35">
        <v>800019631</v>
      </c>
      <c r="F503" s="36"/>
      <c r="G503" s="35" t="s">
        <v>48</v>
      </c>
      <c r="H503" s="51" t="s">
        <v>97</v>
      </c>
      <c r="I503" s="34" t="s">
        <v>1196</v>
      </c>
      <c r="J503" s="52" t="s">
        <v>882</v>
      </c>
      <c r="K503" s="52" t="s">
        <v>60</v>
      </c>
      <c r="L503" s="51" t="s">
        <v>262</v>
      </c>
      <c r="M503" s="51" t="s">
        <v>298</v>
      </c>
      <c r="N503" s="36" t="s">
        <v>50</v>
      </c>
      <c r="O503" s="51"/>
      <c r="P503" s="51" t="s">
        <v>1216</v>
      </c>
      <c r="Q503" s="37"/>
      <c r="R503" s="37"/>
      <c r="S503" s="35" t="s">
        <v>52</v>
      </c>
      <c r="T503" s="38">
        <f>+((16*190000)+(3658606+1823640+24*1022001/14+1293526+750000+150000+1350000)*1.07)*1.23</f>
        <v>17923827.985371429</v>
      </c>
      <c r="U503" s="39"/>
      <c r="V503" s="131"/>
      <c r="W503" s="38">
        <v>0</v>
      </c>
      <c r="X503" s="38">
        <f>+T503*0.35</f>
        <v>6273339.7948799999</v>
      </c>
      <c r="Y503" s="38">
        <f>+T503-X503</f>
        <v>11650488.19049143</v>
      </c>
      <c r="Z503" s="38">
        <v>0</v>
      </c>
      <c r="AA503" s="91">
        <f>+T503*0.01</f>
        <v>179238.27985371431</v>
      </c>
      <c r="AB503" s="91">
        <v>0</v>
      </c>
      <c r="AC503" s="91">
        <f>+AA503*1.15</f>
        <v>206124.02183177145</v>
      </c>
      <c r="AD503" s="91">
        <v>0</v>
      </c>
      <c r="AE503" s="91">
        <f>+AC503*1.15</f>
        <v>237042.62510653713</v>
      </c>
      <c r="AF503" s="91">
        <v>0</v>
      </c>
      <c r="AG503" s="204">
        <f>+AE503*1.15</f>
        <v>272599.01887251768</v>
      </c>
    </row>
    <row r="504" spans="1:33" s="103" customFormat="1" ht="90" customHeight="1">
      <c r="A504" s="102">
        <f t="shared" si="71"/>
        <v>483</v>
      </c>
      <c r="B504" s="52"/>
      <c r="C504" s="51" t="s">
        <v>1185</v>
      </c>
      <c r="D504" s="35" t="s">
        <v>1068</v>
      </c>
      <c r="E504" s="35">
        <v>800002543</v>
      </c>
      <c r="F504" s="36"/>
      <c r="G504" s="35" t="s">
        <v>48</v>
      </c>
      <c r="H504" s="51" t="s">
        <v>97</v>
      </c>
      <c r="I504" s="34" t="s">
        <v>1129</v>
      </c>
      <c r="J504" s="52" t="s">
        <v>557</v>
      </c>
      <c r="K504" s="52" t="s">
        <v>60</v>
      </c>
      <c r="L504" s="51" t="s">
        <v>262</v>
      </c>
      <c r="M504" s="51" t="s">
        <v>298</v>
      </c>
      <c r="N504" s="36" t="s">
        <v>50</v>
      </c>
      <c r="O504" s="51"/>
      <c r="P504" s="51" t="s">
        <v>1217</v>
      </c>
      <c r="Q504" s="37"/>
      <c r="R504" s="37"/>
      <c r="S504" s="35" t="s">
        <v>52</v>
      </c>
      <c r="T504" s="38">
        <f>+((15*190000+450000)+(929210+1293526+1350713+750000+150000+1350000)*1.07)*1.23</f>
        <v>11723241.228899999</v>
      </c>
      <c r="U504" s="39"/>
      <c r="V504" s="131"/>
      <c r="W504" s="38">
        <v>0</v>
      </c>
      <c r="X504" s="38">
        <f>+T504*0.35</f>
        <v>4103134.4301149994</v>
      </c>
      <c r="Y504" s="38">
        <f>+T504-X504</f>
        <v>7620106.7987849992</v>
      </c>
      <c r="Z504" s="38">
        <v>0</v>
      </c>
      <c r="AA504" s="91">
        <f>+T504*0.01</f>
        <v>117232.41228899999</v>
      </c>
      <c r="AB504" s="91">
        <v>0</v>
      </c>
      <c r="AC504" s="91">
        <f>+AA504*1.15</f>
        <v>134817.27413234996</v>
      </c>
      <c r="AD504" s="91">
        <v>0</v>
      </c>
      <c r="AE504" s="91">
        <f>+AC504*1.15</f>
        <v>155039.86525220243</v>
      </c>
      <c r="AF504" s="91">
        <v>0</v>
      </c>
      <c r="AG504" s="204">
        <f>+AE504*1.15</f>
        <v>178295.84504003279</v>
      </c>
    </row>
    <row r="505" spans="1:33" s="103" customFormat="1" ht="90" customHeight="1">
      <c r="A505" s="102">
        <f t="shared" si="71"/>
        <v>484</v>
      </c>
      <c r="B505" s="52"/>
      <c r="C505" s="51" t="s">
        <v>1186</v>
      </c>
      <c r="D505" s="35" t="s">
        <v>96</v>
      </c>
      <c r="E505" s="35">
        <v>800007757</v>
      </c>
      <c r="F505" s="36"/>
      <c r="G505" s="35" t="s">
        <v>48</v>
      </c>
      <c r="H505" s="51" t="s">
        <v>97</v>
      </c>
      <c r="I505" s="34" t="s">
        <v>845</v>
      </c>
      <c r="J505" s="52" t="s">
        <v>550</v>
      </c>
      <c r="K505" s="52"/>
      <c r="L505" s="51" t="s">
        <v>262</v>
      </c>
      <c r="M505" s="51" t="s">
        <v>298</v>
      </c>
      <c r="N505" s="36" t="s">
        <v>50</v>
      </c>
      <c r="O505" s="51"/>
      <c r="P505" s="51" t="s">
        <v>1218</v>
      </c>
      <c r="Q505" s="37"/>
      <c r="R505" s="37"/>
      <c r="S505" s="35" t="s">
        <v>96</v>
      </c>
      <c r="T505" s="38">
        <f>+(24*190000+450000*2+270000+140000+24*10000)*1.23</f>
        <v>7515300</v>
      </c>
      <c r="U505" s="39"/>
      <c r="V505" s="131"/>
      <c r="W505" s="38">
        <v>0</v>
      </c>
      <c r="X505" s="38">
        <v>0</v>
      </c>
      <c r="Y505" s="38">
        <v>0</v>
      </c>
      <c r="Z505" s="38">
        <v>0</v>
      </c>
      <c r="AA505" s="91">
        <f>+T505*0.235*0.3</f>
        <v>529828.65</v>
      </c>
      <c r="AB505" s="91">
        <f>T505-AA505-AC505</f>
        <v>6534553.3499999996</v>
      </c>
      <c r="AC505" s="91">
        <f>+T505*0.06</f>
        <v>450918</v>
      </c>
      <c r="AD505" s="91">
        <v>0</v>
      </c>
      <c r="AE505" s="91">
        <f>+T505*0.01</f>
        <v>75153</v>
      </c>
      <c r="AF505" s="91">
        <v>0</v>
      </c>
      <c r="AG505" s="204">
        <f>+AE505*1.15</f>
        <v>86425.95</v>
      </c>
    </row>
    <row r="506" spans="1:33" s="103" customFormat="1" ht="90" customHeight="1">
      <c r="A506" s="102">
        <f t="shared" si="71"/>
        <v>485</v>
      </c>
      <c r="B506" s="52"/>
      <c r="C506" s="51" t="s">
        <v>1187</v>
      </c>
      <c r="D506" s="35" t="s">
        <v>1069</v>
      </c>
      <c r="E506" s="35">
        <v>800012229</v>
      </c>
      <c r="F506" s="36"/>
      <c r="G506" s="35" t="s">
        <v>48</v>
      </c>
      <c r="H506" s="51" t="s">
        <v>97</v>
      </c>
      <c r="I506" s="34" t="s">
        <v>1199</v>
      </c>
      <c r="J506" s="52" t="s">
        <v>882</v>
      </c>
      <c r="K506" s="52" t="s">
        <v>60</v>
      </c>
      <c r="L506" s="51" t="s">
        <v>262</v>
      </c>
      <c r="M506" s="51" t="s">
        <v>298</v>
      </c>
      <c r="N506" s="36" t="s">
        <v>50</v>
      </c>
      <c r="O506" s="51"/>
      <c r="P506" s="51" t="s">
        <v>1219</v>
      </c>
      <c r="Q506" s="37"/>
      <c r="R506" s="37"/>
      <c r="S506" s="35" t="s">
        <v>96</v>
      </c>
      <c r="T506" s="38">
        <f>+(16*190000+450000+270000*2+12*10000)*1.23</f>
        <v>5104500</v>
      </c>
      <c r="U506" s="39"/>
      <c r="V506" s="131"/>
      <c r="W506" s="38">
        <v>0</v>
      </c>
      <c r="X506" s="38">
        <v>0</v>
      </c>
      <c r="Y506" s="38">
        <v>0</v>
      </c>
      <c r="Z506" s="38">
        <v>0</v>
      </c>
      <c r="AA506" s="91">
        <f>+T506*0.235*0.3</f>
        <v>359867.25</v>
      </c>
      <c r="AB506" s="91">
        <f>+T506-AA506-AC506</f>
        <v>4744632.75</v>
      </c>
      <c r="AC506" s="91">
        <v>0</v>
      </c>
      <c r="AD506" s="91">
        <f>+T506*0.01</f>
        <v>51045</v>
      </c>
      <c r="AE506" s="91">
        <v>0</v>
      </c>
      <c r="AF506" s="91">
        <f>+AD506*1.15</f>
        <v>58701.749999999993</v>
      </c>
      <c r="AG506" s="204">
        <v>0</v>
      </c>
    </row>
    <row r="507" spans="1:33" s="103" customFormat="1" ht="90" customHeight="1">
      <c r="A507" s="102">
        <f t="shared" si="71"/>
        <v>486</v>
      </c>
      <c r="B507" s="52"/>
      <c r="C507" s="51" t="s">
        <v>1188</v>
      </c>
      <c r="D507" s="35" t="s">
        <v>1069</v>
      </c>
      <c r="E507" s="35">
        <v>800005769</v>
      </c>
      <c r="F507" s="36"/>
      <c r="G507" s="35" t="s">
        <v>48</v>
      </c>
      <c r="H507" s="51" t="s">
        <v>97</v>
      </c>
      <c r="I507" s="34" t="s">
        <v>553</v>
      </c>
      <c r="J507" s="52" t="s">
        <v>553</v>
      </c>
      <c r="K507" s="52"/>
      <c r="L507" s="51" t="s">
        <v>262</v>
      </c>
      <c r="M507" s="51" t="s">
        <v>298</v>
      </c>
      <c r="N507" s="36" t="s">
        <v>50</v>
      </c>
      <c r="O507" s="51"/>
      <c r="P507" s="51" t="s">
        <v>1220</v>
      </c>
      <c r="Q507" s="37"/>
      <c r="R507" s="37"/>
      <c r="S507" s="35" t="s">
        <v>52</v>
      </c>
      <c r="T507" s="40">
        <f>+(17*190000+450000*2+270000*3+140000+1800000)*1.23</f>
        <v>8462400</v>
      </c>
      <c r="U507" s="39"/>
      <c r="V507" s="131"/>
      <c r="W507" s="38">
        <v>0</v>
      </c>
      <c r="X507" s="38">
        <f>+T507*0.35</f>
        <v>2961840</v>
      </c>
      <c r="Y507" s="38">
        <f>+T507-X507</f>
        <v>5500560</v>
      </c>
      <c r="Z507" s="38">
        <v>0</v>
      </c>
      <c r="AA507" s="91">
        <f>+T507*0.01</f>
        <v>84624</v>
      </c>
      <c r="AB507" s="91">
        <v>0</v>
      </c>
      <c r="AC507" s="91">
        <f>+AA507*1.15</f>
        <v>97317.599999999991</v>
      </c>
      <c r="AD507" s="91">
        <v>0</v>
      </c>
      <c r="AE507" s="91">
        <f>+AC507*1.15</f>
        <v>111915.23999999998</v>
      </c>
      <c r="AF507" s="91">
        <v>0</v>
      </c>
      <c r="AG507" s="204">
        <f>+AE507*1.15</f>
        <v>128702.52599999997</v>
      </c>
    </row>
    <row r="508" spans="1:33" s="103" customFormat="1" ht="90" customHeight="1">
      <c r="A508" s="102">
        <f t="shared" si="71"/>
        <v>487</v>
      </c>
      <c r="B508" s="52"/>
      <c r="C508" s="51" t="s">
        <v>1189</v>
      </c>
      <c r="D508" s="35" t="s">
        <v>1069</v>
      </c>
      <c r="E508" s="35">
        <v>800005843</v>
      </c>
      <c r="F508" s="36"/>
      <c r="G508" s="35" t="s">
        <v>48</v>
      </c>
      <c r="H508" s="51" t="s">
        <v>97</v>
      </c>
      <c r="I508" s="34" t="s">
        <v>1200</v>
      </c>
      <c r="J508" s="52" t="s">
        <v>99</v>
      </c>
      <c r="K508" s="52"/>
      <c r="L508" s="51" t="s">
        <v>262</v>
      </c>
      <c r="M508" s="51" t="s">
        <v>298</v>
      </c>
      <c r="N508" s="36" t="s">
        <v>50</v>
      </c>
      <c r="O508" s="51"/>
      <c r="P508" s="51" t="s">
        <v>1220</v>
      </c>
      <c r="Q508" s="37"/>
      <c r="R508" s="37"/>
      <c r="S508" s="35" t="s">
        <v>52</v>
      </c>
      <c r="T508" s="40">
        <f>+(17*190000+450000+270000*3+140000+450000+200000)*1.23</f>
        <v>6494400</v>
      </c>
      <c r="U508" s="39"/>
      <c r="V508" s="131"/>
      <c r="W508" s="38">
        <v>0</v>
      </c>
      <c r="X508" s="38">
        <f>+T508*0.35</f>
        <v>2273040</v>
      </c>
      <c r="Y508" s="38">
        <f>+T508-X508</f>
        <v>4221360</v>
      </c>
      <c r="Z508" s="38">
        <v>0</v>
      </c>
      <c r="AA508" s="91">
        <f>+T508*0.01</f>
        <v>64944</v>
      </c>
      <c r="AB508" s="91">
        <v>0</v>
      </c>
      <c r="AC508" s="91">
        <f>+AA508*1.15</f>
        <v>74685.599999999991</v>
      </c>
      <c r="AD508" s="91">
        <v>0</v>
      </c>
      <c r="AE508" s="91">
        <f>+AC508*1.15</f>
        <v>85888.439999999988</v>
      </c>
      <c r="AF508" s="91">
        <v>0</v>
      </c>
      <c r="AG508" s="204">
        <f>+AE508*1.15</f>
        <v>98771.705999999976</v>
      </c>
    </row>
    <row r="509" spans="1:33" s="103" customFormat="1" ht="90" customHeight="1">
      <c r="A509" s="102">
        <f t="shared" si="71"/>
        <v>488</v>
      </c>
      <c r="B509" s="52"/>
      <c r="C509" s="51" t="s">
        <v>1190</v>
      </c>
      <c r="D509" s="35" t="s">
        <v>1068</v>
      </c>
      <c r="E509" s="35">
        <v>800023366</v>
      </c>
      <c r="F509" s="36"/>
      <c r="G509" s="35" t="s">
        <v>48</v>
      </c>
      <c r="H509" s="51" t="s">
        <v>97</v>
      </c>
      <c r="I509" s="34" t="s">
        <v>881</v>
      </c>
      <c r="J509" s="52" t="s">
        <v>882</v>
      </c>
      <c r="K509" s="52" t="s">
        <v>60</v>
      </c>
      <c r="L509" s="51" t="s">
        <v>262</v>
      </c>
      <c r="M509" s="51" t="s">
        <v>298</v>
      </c>
      <c r="N509" s="36" t="s">
        <v>50</v>
      </c>
      <c r="O509" s="51"/>
      <c r="P509" s="51" t="s">
        <v>1221</v>
      </c>
      <c r="Q509" s="37"/>
      <c r="R509" s="37"/>
      <c r="S509" s="35" t="s">
        <v>52</v>
      </c>
      <c r="T509" s="38">
        <f>+(16*190000+3658606+1293526+1350713+1823640+929210+1350000+150000+750000)*1.23*1.07</f>
        <v>18880369.189500004</v>
      </c>
      <c r="U509" s="39"/>
      <c r="V509" s="131"/>
      <c r="W509" s="38">
        <v>0</v>
      </c>
      <c r="X509" s="38">
        <f>+T509*0.35</f>
        <v>6608129.2163250009</v>
      </c>
      <c r="Y509" s="38">
        <f>+T509-X509</f>
        <v>12272239.973175004</v>
      </c>
      <c r="Z509" s="38">
        <v>0</v>
      </c>
      <c r="AA509" s="91">
        <f>+T509*0.01</f>
        <v>188803.69189500005</v>
      </c>
      <c r="AB509" s="91">
        <v>0</v>
      </c>
      <c r="AC509" s="91">
        <f>+AA509*1.15</f>
        <v>217124.24567925005</v>
      </c>
      <c r="AD509" s="91">
        <v>0</v>
      </c>
      <c r="AE509" s="91">
        <f>+AC509*1.15</f>
        <v>249692.88253113753</v>
      </c>
      <c r="AF509" s="91">
        <v>0</v>
      </c>
      <c r="AG509" s="204">
        <f>+AE509*1.15</f>
        <v>287146.81491080811</v>
      </c>
    </row>
    <row r="510" spans="1:33" s="103" customFormat="1" ht="90" customHeight="1">
      <c r="A510" s="102">
        <f t="shared" si="71"/>
        <v>489</v>
      </c>
      <c r="B510" s="52"/>
      <c r="C510" s="51" t="s">
        <v>1191</v>
      </c>
      <c r="D510" s="35" t="s">
        <v>1069</v>
      </c>
      <c r="E510" s="35">
        <v>800007583</v>
      </c>
      <c r="F510" s="36"/>
      <c r="G510" s="35" t="s">
        <v>48</v>
      </c>
      <c r="H510" s="51" t="s">
        <v>97</v>
      </c>
      <c r="I510" s="34" t="s">
        <v>887</v>
      </c>
      <c r="J510" s="52" t="s">
        <v>557</v>
      </c>
      <c r="K510" s="52" t="s">
        <v>60</v>
      </c>
      <c r="L510" s="51" t="s">
        <v>262</v>
      </c>
      <c r="M510" s="51" t="s">
        <v>298</v>
      </c>
      <c r="N510" s="36" t="s">
        <v>50</v>
      </c>
      <c r="O510" s="51"/>
      <c r="P510" s="51" t="s">
        <v>1222</v>
      </c>
      <c r="Q510" s="37"/>
      <c r="R510" s="37"/>
      <c r="S510" s="35" t="s">
        <v>52</v>
      </c>
      <c r="T510" s="38">
        <f>+(24*190000+450000+270000*2+1350000+929210+750000+150000)*1.23</f>
        <v>10736928.300000001</v>
      </c>
      <c r="U510" s="39"/>
      <c r="V510" s="131"/>
      <c r="W510" s="38">
        <v>0</v>
      </c>
      <c r="X510" s="38">
        <f>+T510*0.35</f>
        <v>3757924.9049999998</v>
      </c>
      <c r="Y510" s="38">
        <f>+T510-X510</f>
        <v>6979003.3950000014</v>
      </c>
      <c r="Z510" s="38">
        <v>0</v>
      </c>
      <c r="AA510" s="91">
        <f>+T510*0.01</f>
        <v>107369.28300000001</v>
      </c>
      <c r="AB510" s="91">
        <v>0</v>
      </c>
      <c r="AC510" s="91">
        <f>+AA510*1.15</f>
        <v>123474.67545</v>
      </c>
      <c r="AD510" s="91">
        <v>0</v>
      </c>
      <c r="AE510" s="91">
        <f>+AC510*1.15</f>
        <v>141995.87676749998</v>
      </c>
      <c r="AF510" s="91">
        <v>0</v>
      </c>
      <c r="AG510" s="204">
        <f>+AE510*1.15</f>
        <v>163295.25828262497</v>
      </c>
    </row>
    <row r="511" spans="1:33" s="103" customFormat="1" ht="90" customHeight="1">
      <c r="A511" s="102">
        <f t="shared" si="71"/>
        <v>490</v>
      </c>
      <c r="B511" s="52"/>
      <c r="C511" s="51" t="s">
        <v>1192</v>
      </c>
      <c r="D511" s="35" t="s">
        <v>1068</v>
      </c>
      <c r="E511" s="35">
        <v>800020669</v>
      </c>
      <c r="F511" s="36"/>
      <c r="G511" s="35" t="s">
        <v>48</v>
      </c>
      <c r="H511" s="51" t="s">
        <v>97</v>
      </c>
      <c r="I511" s="34" t="s">
        <v>887</v>
      </c>
      <c r="J511" s="52" t="s">
        <v>557</v>
      </c>
      <c r="K511" s="52" t="s">
        <v>60</v>
      </c>
      <c r="L511" s="51" t="s">
        <v>262</v>
      </c>
      <c r="M511" s="51" t="s">
        <v>298</v>
      </c>
      <c r="N511" s="36" t="s">
        <v>50</v>
      </c>
      <c r="O511" s="51"/>
      <c r="P511" s="51" t="s">
        <v>1223</v>
      </c>
      <c r="Q511" s="37"/>
      <c r="R511" s="37"/>
      <c r="S511" s="35" t="s">
        <v>52</v>
      </c>
      <c r="T511" s="38">
        <f>+(10*190000+1823640+3658606+10*1022001/14+1350000+1350713)*1.23*1.07</f>
        <v>14230936.27997143</v>
      </c>
      <c r="U511" s="39"/>
      <c r="V511" s="131"/>
      <c r="W511" s="38">
        <v>0</v>
      </c>
      <c r="X511" s="38">
        <f>+T511*0.35</f>
        <v>4980827.6979900002</v>
      </c>
      <c r="Y511" s="38">
        <f>+T511-X511</f>
        <v>9250108.5819814298</v>
      </c>
      <c r="Z511" s="38">
        <v>0</v>
      </c>
      <c r="AA511" s="91">
        <f>+T511*0.01</f>
        <v>142309.36279971429</v>
      </c>
      <c r="AB511" s="91">
        <v>0</v>
      </c>
      <c r="AC511" s="91">
        <f>+AA511*1.15</f>
        <v>163655.76721967143</v>
      </c>
      <c r="AD511" s="91">
        <v>0</v>
      </c>
      <c r="AE511" s="91">
        <f>+AC511*1.15</f>
        <v>188204.13230262214</v>
      </c>
      <c r="AF511" s="91">
        <v>0</v>
      </c>
      <c r="AG511" s="204">
        <f>+AE511*1.15</f>
        <v>216434.75214801545</v>
      </c>
    </row>
    <row r="512" spans="1:33" s="103" customFormat="1" ht="90" customHeight="1">
      <c r="A512" s="102">
        <f t="shared" si="71"/>
        <v>491</v>
      </c>
      <c r="B512" s="52"/>
      <c r="C512" s="51" t="s">
        <v>1193</v>
      </c>
      <c r="D512" s="35" t="s">
        <v>1069</v>
      </c>
      <c r="E512" s="35">
        <v>800011049</v>
      </c>
      <c r="F512" s="36"/>
      <c r="G512" s="35" t="s">
        <v>48</v>
      </c>
      <c r="H512" s="51" t="s">
        <v>97</v>
      </c>
      <c r="I512" s="34" t="s">
        <v>563</v>
      </c>
      <c r="J512" s="52" t="s">
        <v>550</v>
      </c>
      <c r="K512" s="52"/>
      <c r="L512" s="51" t="s">
        <v>262</v>
      </c>
      <c r="M512" s="51" t="s">
        <v>298</v>
      </c>
      <c r="N512" s="36" t="s">
        <v>50</v>
      </c>
      <c r="O512" s="51"/>
      <c r="P512" s="51" t="s">
        <v>1224</v>
      </c>
      <c r="Q512" s="37"/>
      <c r="R512" s="37"/>
      <c r="S512" s="35" t="s">
        <v>96</v>
      </c>
      <c r="T512" s="38">
        <f>+(32*190000+450000+270000*2+1350000+929210+750000+150000)*1.23</f>
        <v>12606528.300000001</v>
      </c>
      <c r="U512" s="39"/>
      <c r="V512" s="131"/>
      <c r="W512" s="38">
        <v>0</v>
      </c>
      <c r="X512" s="38">
        <v>0</v>
      </c>
      <c r="Y512" s="38">
        <v>0</v>
      </c>
      <c r="Z512" s="38">
        <v>0</v>
      </c>
      <c r="AA512" s="91">
        <f>+T512*0.235*0.3</f>
        <v>888760.24514999997</v>
      </c>
      <c r="AB512" s="91">
        <f>+T512-AA512</f>
        <v>11717768.054850001</v>
      </c>
      <c r="AC512" s="91">
        <v>0</v>
      </c>
      <c r="AD512" s="91">
        <f>+T512*0.01</f>
        <v>126065.28300000001</v>
      </c>
      <c r="AE512" s="91">
        <v>0</v>
      </c>
      <c r="AF512" s="91">
        <f>+AD512*1.15</f>
        <v>144975.07545</v>
      </c>
      <c r="AG512" s="204">
        <v>0</v>
      </c>
    </row>
    <row r="513" spans="1:60" s="103" customFormat="1" ht="90" customHeight="1">
      <c r="A513" s="102">
        <f t="shared" si="71"/>
        <v>492</v>
      </c>
      <c r="B513" s="52"/>
      <c r="C513" s="51" t="s">
        <v>1194</v>
      </c>
      <c r="D513" s="35" t="s">
        <v>1069</v>
      </c>
      <c r="E513" s="35">
        <v>800006189</v>
      </c>
      <c r="F513" s="36"/>
      <c r="G513" s="35" t="s">
        <v>48</v>
      </c>
      <c r="H513" s="51" t="s">
        <v>97</v>
      </c>
      <c r="I513" s="34" t="s">
        <v>1136</v>
      </c>
      <c r="J513" s="52" t="s">
        <v>1136</v>
      </c>
      <c r="K513" s="52"/>
      <c r="L513" s="51" t="s">
        <v>262</v>
      </c>
      <c r="M513" s="51" t="s">
        <v>298</v>
      </c>
      <c r="N513" s="36" t="s">
        <v>50</v>
      </c>
      <c r="O513" s="51"/>
      <c r="P513" s="51" t="s">
        <v>1238</v>
      </c>
      <c r="Q513" s="37"/>
      <c r="R513" s="37"/>
      <c r="S513" s="35" t="s">
        <v>96</v>
      </c>
      <c r="T513" s="38">
        <f>+(20*190000+450000+270000+1350000+929210+750000+150000)*1.23</f>
        <v>9470028.3000000007</v>
      </c>
      <c r="U513" s="39"/>
      <c r="V513" s="131"/>
      <c r="W513" s="38">
        <v>0</v>
      </c>
      <c r="X513" s="38">
        <v>0</v>
      </c>
      <c r="Y513" s="38">
        <v>0</v>
      </c>
      <c r="Z513" s="38">
        <v>0</v>
      </c>
      <c r="AA513" s="91">
        <f>+T513*0.235*0.3</f>
        <v>667636.99514999997</v>
      </c>
      <c r="AB513" s="91">
        <f>+T513-AA513-AC513</f>
        <v>8234189.606850001</v>
      </c>
      <c r="AC513" s="91">
        <f>+T513*0.06</f>
        <v>568201.69799999997</v>
      </c>
      <c r="AD513" s="91">
        <v>0</v>
      </c>
      <c r="AE513" s="91">
        <f>+T513*0.01</f>
        <v>94700.28300000001</v>
      </c>
      <c r="AF513" s="91">
        <v>0</v>
      </c>
      <c r="AG513" s="204">
        <f>+AE513*1.15</f>
        <v>108905.32545</v>
      </c>
    </row>
    <row r="514" spans="1:60" s="103" customFormat="1" ht="90" customHeight="1">
      <c r="A514" s="102">
        <f t="shared" si="71"/>
        <v>493</v>
      </c>
      <c r="B514" s="52"/>
      <c r="C514" s="51" t="s">
        <v>876</v>
      </c>
      <c r="D514" s="35" t="s">
        <v>581</v>
      </c>
      <c r="E514" s="35" t="s">
        <v>66</v>
      </c>
      <c r="F514" s="36"/>
      <c r="G514" s="35" t="s">
        <v>48</v>
      </c>
      <c r="H514" s="51" t="s">
        <v>97</v>
      </c>
      <c r="I514" s="34" t="s">
        <v>877</v>
      </c>
      <c r="J514" s="52" t="s">
        <v>99</v>
      </c>
      <c r="K514" s="52"/>
      <c r="L514" s="51" t="s">
        <v>49</v>
      </c>
      <c r="M514" s="51" t="s">
        <v>2</v>
      </c>
      <c r="N514" s="36" t="s">
        <v>50</v>
      </c>
      <c r="O514" s="51"/>
      <c r="P514" s="51" t="s">
        <v>878</v>
      </c>
      <c r="Q514" s="37"/>
      <c r="R514" s="37"/>
      <c r="S514" s="35" t="s">
        <v>96</v>
      </c>
      <c r="T514" s="38">
        <f>+(1823640+24*((1141850+1714473+2097122)/9)+3658606+1293526+1350713+36*(1022001/14)+1350000+600000+350000+4298671+929210+1050000+150000)*1.23*1.07</f>
        <v>43025355.848857142</v>
      </c>
      <c r="U514" s="39"/>
      <c r="V514" s="131"/>
      <c r="W514" s="38">
        <v>0</v>
      </c>
      <c r="X514" s="38">
        <v>0</v>
      </c>
      <c r="Y514" s="38">
        <v>0</v>
      </c>
      <c r="Z514" s="38">
        <v>0</v>
      </c>
      <c r="AA514" s="91">
        <v>0</v>
      </c>
      <c r="AB514" s="91">
        <f>+T514*0.235*0.3</f>
        <v>3033287.5873444285</v>
      </c>
      <c r="AC514" s="91">
        <f>+T514-AB514-AD514</f>
        <v>37410546.910581283</v>
      </c>
      <c r="AD514" s="91">
        <f>+T514*0.06</f>
        <v>2581521.3509314284</v>
      </c>
      <c r="AE514" s="91">
        <v>0</v>
      </c>
      <c r="AF514" s="91">
        <f>+T514*0.01</f>
        <v>430253.55848857143</v>
      </c>
      <c r="AG514" s="204">
        <v>0</v>
      </c>
    </row>
    <row r="515" spans="1:60" s="103" customFormat="1" ht="90" customHeight="1">
      <c r="A515" s="102">
        <f t="shared" si="71"/>
        <v>494</v>
      </c>
      <c r="B515" s="52"/>
      <c r="C515" s="51" t="s">
        <v>879</v>
      </c>
      <c r="D515" s="35" t="s">
        <v>581</v>
      </c>
      <c r="E515" s="35" t="s">
        <v>66</v>
      </c>
      <c r="F515" s="36"/>
      <c r="G515" s="35" t="s">
        <v>48</v>
      </c>
      <c r="H515" s="51" t="s">
        <v>97</v>
      </c>
      <c r="I515" s="34" t="s">
        <v>845</v>
      </c>
      <c r="J515" s="52" t="s">
        <v>550</v>
      </c>
      <c r="K515" s="52"/>
      <c r="L515" s="51" t="s">
        <v>49</v>
      </c>
      <c r="M515" s="51" t="s">
        <v>2</v>
      </c>
      <c r="N515" s="36" t="s">
        <v>50</v>
      </c>
      <c r="O515" s="51"/>
      <c r="P515" s="51" t="s">
        <v>878</v>
      </c>
      <c r="Q515" s="37"/>
      <c r="R515" s="37"/>
      <c r="S515" s="35" t="s">
        <v>96</v>
      </c>
      <c r="T515" s="38">
        <f>+(1823640+24*((1141850+1714473+2097122)/9)+3658606+1293526+1350713+36*(1022001/14)+1350000+600000+350000+4298671+929210+1050000+150000)*1.23*1.07</f>
        <v>43025355.848857142</v>
      </c>
      <c r="U515" s="39"/>
      <c r="V515" s="131"/>
      <c r="W515" s="38">
        <v>0</v>
      </c>
      <c r="X515" s="38">
        <v>0</v>
      </c>
      <c r="Y515" s="38">
        <v>0</v>
      </c>
      <c r="Z515" s="38">
        <v>0</v>
      </c>
      <c r="AA515" s="91">
        <v>0</v>
      </c>
      <c r="AB515" s="91">
        <v>0</v>
      </c>
      <c r="AC515" s="91">
        <f>+T515*0.235*0.3</f>
        <v>3033287.5873444285</v>
      </c>
      <c r="AD515" s="91">
        <f>+T515-AC515-AE515</f>
        <v>37410546.910581283</v>
      </c>
      <c r="AE515" s="91">
        <f>+T515*0.06</f>
        <v>2581521.3509314284</v>
      </c>
      <c r="AF515" s="91">
        <v>0</v>
      </c>
      <c r="AG515" s="204">
        <f>+T515*0.01</f>
        <v>430253.55848857143</v>
      </c>
    </row>
    <row r="516" spans="1:60" s="103" customFormat="1" ht="90" customHeight="1">
      <c r="A516" s="102">
        <f t="shared" si="71"/>
        <v>495</v>
      </c>
      <c r="B516" s="52"/>
      <c r="C516" s="51" t="s">
        <v>880</v>
      </c>
      <c r="D516" s="35" t="s">
        <v>581</v>
      </c>
      <c r="E516" s="35" t="s">
        <v>66</v>
      </c>
      <c r="F516" s="36"/>
      <c r="G516" s="35" t="s">
        <v>48</v>
      </c>
      <c r="H516" s="51" t="s">
        <v>97</v>
      </c>
      <c r="I516" s="34" t="s">
        <v>881</v>
      </c>
      <c r="J516" s="52" t="s">
        <v>882</v>
      </c>
      <c r="K516" s="52" t="s">
        <v>60</v>
      </c>
      <c r="L516" s="51" t="s">
        <v>49</v>
      </c>
      <c r="M516" s="51" t="s">
        <v>2</v>
      </c>
      <c r="N516" s="36" t="s">
        <v>50</v>
      </c>
      <c r="O516" s="51"/>
      <c r="P516" s="51" t="s">
        <v>883</v>
      </c>
      <c r="Q516" s="37"/>
      <c r="R516" s="37"/>
      <c r="S516" s="35" t="s">
        <v>96</v>
      </c>
      <c r="T516" s="38">
        <f>+(1823640+24*((1141850+1714473+2097122)/9)+3658606+1293526+1350713+36*(1022001/14)+1350000+600000+350000+4298671+929210+1050000+150000)*1.23*1.07</f>
        <v>43025355.848857142</v>
      </c>
      <c r="U516" s="39"/>
      <c r="V516" s="131"/>
      <c r="W516" s="38">
        <v>0</v>
      </c>
      <c r="X516" s="38">
        <v>0</v>
      </c>
      <c r="Y516" s="38">
        <v>0</v>
      </c>
      <c r="Z516" s="38">
        <v>0</v>
      </c>
      <c r="AA516" s="91">
        <v>0</v>
      </c>
      <c r="AB516" s="91">
        <f>+T516*0.235*0.3</f>
        <v>3033287.5873444285</v>
      </c>
      <c r="AC516" s="91">
        <f>+T516-AB516-AD516</f>
        <v>37410546.910581283</v>
      </c>
      <c r="AD516" s="91">
        <f>+T516*0.06</f>
        <v>2581521.3509314284</v>
      </c>
      <c r="AE516" s="91">
        <v>0</v>
      </c>
      <c r="AF516" s="91">
        <f>+T516*0.01</f>
        <v>430253.55848857143</v>
      </c>
      <c r="AG516" s="204">
        <v>0</v>
      </c>
    </row>
    <row r="517" spans="1:60" s="103" customFormat="1" ht="90" customHeight="1">
      <c r="A517" s="102">
        <f t="shared" si="71"/>
        <v>496</v>
      </c>
      <c r="B517" s="52"/>
      <c r="C517" s="51" t="s">
        <v>884</v>
      </c>
      <c r="D517" s="35" t="s">
        <v>581</v>
      </c>
      <c r="E517" s="35" t="s">
        <v>66</v>
      </c>
      <c r="F517" s="36"/>
      <c r="G517" s="35" t="s">
        <v>48</v>
      </c>
      <c r="H517" s="51" t="s">
        <v>97</v>
      </c>
      <c r="I517" s="34" t="s">
        <v>885</v>
      </c>
      <c r="J517" s="52" t="s">
        <v>550</v>
      </c>
      <c r="K517" s="52"/>
      <c r="L517" s="51" t="s">
        <v>49</v>
      </c>
      <c r="M517" s="51" t="s">
        <v>2</v>
      </c>
      <c r="N517" s="36" t="s">
        <v>50</v>
      </c>
      <c r="O517" s="51"/>
      <c r="P517" s="51" t="s">
        <v>878</v>
      </c>
      <c r="Q517" s="37"/>
      <c r="R517" s="37"/>
      <c r="S517" s="35" t="s">
        <v>96</v>
      </c>
      <c r="T517" s="38">
        <f>+(1823640+24*((1141850+1714473+2097122)/9)+3658606+1293526+1350713+36*(1022001/14)+1350000+600000+350000+4298671+929210+1050000+150000)*1.23*1.07</f>
        <v>43025355.848857142</v>
      </c>
      <c r="U517" s="39"/>
      <c r="V517" s="131"/>
      <c r="W517" s="38">
        <v>0</v>
      </c>
      <c r="X517" s="38">
        <v>0</v>
      </c>
      <c r="Y517" s="38">
        <v>0</v>
      </c>
      <c r="Z517" s="38">
        <v>0</v>
      </c>
      <c r="AA517" s="91">
        <f>+T517*0.235*0.3</f>
        <v>3033287.5873444285</v>
      </c>
      <c r="AB517" s="91">
        <f>+T517-AA517-AC517</f>
        <v>37410546.910581283</v>
      </c>
      <c r="AC517" s="91">
        <f>+T517*0.06</f>
        <v>2581521.3509314284</v>
      </c>
      <c r="AD517" s="91">
        <v>0</v>
      </c>
      <c r="AE517" s="91">
        <f>+T517*0.01</f>
        <v>430253.55848857143</v>
      </c>
      <c r="AF517" s="91">
        <v>0</v>
      </c>
      <c r="AG517" s="204">
        <f>+AE517*1.15</f>
        <v>494791.59226185712</v>
      </c>
    </row>
    <row r="518" spans="1:60" s="103" customFormat="1" ht="90" customHeight="1">
      <c r="A518" s="102">
        <f t="shared" si="71"/>
        <v>497</v>
      </c>
      <c r="B518" s="52"/>
      <c r="C518" s="51" t="s">
        <v>886</v>
      </c>
      <c r="D518" s="35" t="s">
        <v>581</v>
      </c>
      <c r="E518" s="35" t="s">
        <v>66</v>
      </c>
      <c r="F518" s="36"/>
      <c r="G518" s="35" t="s">
        <v>48</v>
      </c>
      <c r="H518" s="51" t="s">
        <v>97</v>
      </c>
      <c r="I518" s="34" t="s">
        <v>887</v>
      </c>
      <c r="J518" s="52" t="s">
        <v>557</v>
      </c>
      <c r="K518" s="52" t="s">
        <v>60</v>
      </c>
      <c r="L518" s="51" t="s">
        <v>49</v>
      </c>
      <c r="M518" s="51" t="s">
        <v>2</v>
      </c>
      <c r="N518" s="36" t="s">
        <v>50</v>
      </c>
      <c r="O518" s="51"/>
      <c r="P518" s="51" t="s">
        <v>888</v>
      </c>
      <c r="Q518" s="37"/>
      <c r="R518" s="37"/>
      <c r="S518" s="35" t="s">
        <v>96</v>
      </c>
      <c r="T518" s="38">
        <f>+(16*((1141850+1714473+2097122)/9)+3658606+1293526+1350713+26*(1022001/14)+1350000+600000+350000+4298671+929210+1050000+150000)*1.23*1.07</f>
        <v>33869639.114119045</v>
      </c>
      <c r="U518" s="39"/>
      <c r="V518" s="131"/>
      <c r="W518" s="38">
        <v>0</v>
      </c>
      <c r="X518" s="38">
        <v>0</v>
      </c>
      <c r="Y518" s="38">
        <v>0</v>
      </c>
      <c r="Z518" s="38">
        <v>0</v>
      </c>
      <c r="AA518" s="91">
        <v>0</v>
      </c>
      <c r="AB518" s="91">
        <f>+T518*0.235*0.3</f>
        <v>2387809.5575453928</v>
      </c>
      <c r="AC518" s="91">
        <f>+T518-AB518-AD518</f>
        <v>29449651.209726509</v>
      </c>
      <c r="AD518" s="91">
        <f>+T518*0.06</f>
        <v>2032178.3468471426</v>
      </c>
      <c r="AE518" s="91">
        <v>0</v>
      </c>
      <c r="AF518" s="91">
        <f>+T518*0.01</f>
        <v>338696.39114119048</v>
      </c>
      <c r="AG518" s="204">
        <v>0</v>
      </c>
    </row>
    <row r="519" spans="1:60" s="103" customFormat="1" ht="90" customHeight="1">
      <c r="A519" s="102">
        <f t="shared" si="71"/>
        <v>498</v>
      </c>
      <c r="B519" s="52"/>
      <c r="C519" s="51" t="s">
        <v>889</v>
      </c>
      <c r="D519" s="35" t="s">
        <v>581</v>
      </c>
      <c r="E519" s="35" t="s">
        <v>66</v>
      </c>
      <c r="F519" s="36"/>
      <c r="G519" s="35" t="s">
        <v>48</v>
      </c>
      <c r="H519" s="51" t="s">
        <v>97</v>
      </c>
      <c r="I519" s="34" t="s">
        <v>890</v>
      </c>
      <c r="J519" s="52" t="s">
        <v>882</v>
      </c>
      <c r="K519" s="52" t="s">
        <v>60</v>
      </c>
      <c r="L519" s="51" t="s">
        <v>49</v>
      </c>
      <c r="M519" s="51" t="s">
        <v>2</v>
      </c>
      <c r="N519" s="36" t="s">
        <v>50</v>
      </c>
      <c r="O519" s="51"/>
      <c r="P519" s="51" t="s">
        <v>888</v>
      </c>
      <c r="Q519" s="37"/>
      <c r="R519" s="37"/>
      <c r="S519" s="35" t="s">
        <v>96</v>
      </c>
      <c r="T519" s="38">
        <f>+(16*((1141850+1714473+2097122)/9)+3658606+1293526+1350713+4298671+26*(1022001/14)+1350000+600000+929210+1050000+150000)*1.23*1.07</f>
        <v>33409004.114119049</v>
      </c>
      <c r="U519" s="39"/>
      <c r="V519" s="131"/>
      <c r="W519" s="38">
        <v>0</v>
      </c>
      <c r="X519" s="38">
        <v>0</v>
      </c>
      <c r="Y519" s="38">
        <v>0</v>
      </c>
      <c r="Z519" s="38">
        <v>0</v>
      </c>
      <c r="AA519" s="91">
        <v>0</v>
      </c>
      <c r="AB519" s="91">
        <f>+T519*0.235*0.3</f>
        <v>2355334.7900453927</v>
      </c>
      <c r="AC519" s="91">
        <f>+T519-AB519-AD519</f>
        <v>29049129.077226516</v>
      </c>
      <c r="AD519" s="91">
        <f>+T519*0.06</f>
        <v>2004540.2468471429</v>
      </c>
      <c r="AE519" s="91">
        <v>0</v>
      </c>
      <c r="AF519" s="91">
        <f>+T519*0.01</f>
        <v>334090.04114119051</v>
      </c>
      <c r="AG519" s="204">
        <v>0</v>
      </c>
    </row>
    <row r="520" spans="1:60" s="103" customFormat="1" ht="90" customHeight="1">
      <c r="A520" s="102">
        <f t="shared" si="71"/>
        <v>499</v>
      </c>
      <c r="B520" s="52"/>
      <c r="C520" s="51" t="s">
        <v>891</v>
      </c>
      <c r="D520" s="35" t="s">
        <v>73</v>
      </c>
      <c r="E520" s="35" t="s">
        <v>66</v>
      </c>
      <c r="F520" s="36" t="s">
        <v>67</v>
      </c>
      <c r="G520" s="35" t="s">
        <v>48</v>
      </c>
      <c r="H520" s="51" t="s">
        <v>68</v>
      </c>
      <c r="I520" s="34" t="s">
        <v>90</v>
      </c>
      <c r="J520" s="52" t="s">
        <v>70</v>
      </c>
      <c r="K520" s="52" t="s">
        <v>60</v>
      </c>
      <c r="L520" s="51" t="s">
        <v>49</v>
      </c>
      <c r="M520" s="51" t="s">
        <v>2</v>
      </c>
      <c r="N520" s="36" t="s">
        <v>50</v>
      </c>
      <c r="O520" s="51"/>
      <c r="P520" s="51" t="s">
        <v>1231</v>
      </c>
      <c r="Q520" s="37"/>
      <c r="R520" s="37"/>
      <c r="S520" s="35" t="s">
        <v>96</v>
      </c>
      <c r="T520" s="38">
        <f>+(16*((1141850+1714473+2097122)/9)+3658606+1247367+1293526+1350713+4298671+20*(1022001/14)+600000+350000+300000+1050000+150000)*1.23*1.07</f>
        <v>32330008.177776191</v>
      </c>
      <c r="U520" s="39"/>
      <c r="V520" s="131"/>
      <c r="W520" s="38">
        <v>0</v>
      </c>
      <c r="X520" s="38">
        <v>0</v>
      </c>
      <c r="Y520" s="38">
        <v>0</v>
      </c>
      <c r="Z520" s="38">
        <v>0</v>
      </c>
      <c r="AA520" s="91">
        <f>+T520*0.235*0.3</f>
        <v>2279265.5765332212</v>
      </c>
      <c r="AB520" s="91">
        <f>+T520-AA520-AC520</f>
        <v>28110942.110576399</v>
      </c>
      <c r="AC520" s="91">
        <f>+T520*0.06</f>
        <v>1939800.4906665713</v>
      </c>
      <c r="AD520" s="91">
        <v>0</v>
      </c>
      <c r="AE520" s="91">
        <f>+T520*0.01</f>
        <v>323300.08177776192</v>
      </c>
      <c r="AF520" s="91">
        <v>0</v>
      </c>
      <c r="AG520" s="204">
        <f>+AE520*1.15</f>
        <v>371795.09404442617</v>
      </c>
    </row>
    <row r="521" spans="1:60" s="103" customFormat="1" ht="90" customHeight="1">
      <c r="A521" s="102">
        <f t="shared" si="71"/>
        <v>500</v>
      </c>
      <c r="B521" s="52"/>
      <c r="C521" s="51" t="s">
        <v>892</v>
      </c>
      <c r="D521" s="35" t="s">
        <v>73</v>
      </c>
      <c r="E521" s="35" t="s">
        <v>66</v>
      </c>
      <c r="F521" s="36" t="s">
        <v>67</v>
      </c>
      <c r="G521" s="35" t="s">
        <v>48</v>
      </c>
      <c r="H521" s="51" t="s">
        <v>68</v>
      </c>
      <c r="I521" s="34" t="s">
        <v>219</v>
      </c>
      <c r="J521" s="52" t="s">
        <v>84</v>
      </c>
      <c r="K521" s="52"/>
      <c r="L521" s="51" t="s">
        <v>49</v>
      </c>
      <c r="M521" s="51" t="s">
        <v>2</v>
      </c>
      <c r="N521" s="36" t="s">
        <v>50</v>
      </c>
      <c r="O521" s="51"/>
      <c r="P521" s="51" t="s">
        <v>893</v>
      </c>
      <c r="Q521" s="37"/>
      <c r="R521" s="37"/>
      <c r="S521" s="35" t="s">
        <v>96</v>
      </c>
      <c r="T521" s="38">
        <f>+(28*((1141850+1714473+2097122)/9)+3658606+1247367+1293526+1350713+4298671+30*(1022001/14)+1350000+600000+350000+929210+300000+1050000+150000)*1.23*1.07</f>
        <v>44982735.684847616</v>
      </c>
      <c r="U521" s="39"/>
      <c r="V521" s="131"/>
      <c r="W521" s="38">
        <v>0</v>
      </c>
      <c r="X521" s="38">
        <v>0</v>
      </c>
      <c r="Y521" s="132">
        <f>+T521*0.235*0.3</f>
        <v>3171282.8657817566</v>
      </c>
      <c r="Z521" s="38">
        <f>+T521-Y521-AA521</f>
        <v>39562316.034823477</v>
      </c>
      <c r="AA521" s="91">
        <f>+T521*0.05</f>
        <v>2249136.7842423809</v>
      </c>
      <c r="AB521" s="91">
        <v>0</v>
      </c>
      <c r="AC521" s="91">
        <f>+AA521*0.1</f>
        <v>224913.67842423811</v>
      </c>
      <c r="AD521" s="91">
        <v>0</v>
      </c>
      <c r="AE521" s="91">
        <f>+AC521*1.15</f>
        <v>258650.73018787382</v>
      </c>
      <c r="AF521" s="91">
        <v>0</v>
      </c>
      <c r="AG521" s="204">
        <f>+AE521*1.15</f>
        <v>297448.33971605485</v>
      </c>
    </row>
    <row r="522" spans="1:60" s="103" customFormat="1" ht="90" customHeight="1">
      <c r="A522" s="102">
        <f t="shared" si="71"/>
        <v>501</v>
      </c>
      <c r="B522" s="52"/>
      <c r="C522" s="51" t="s">
        <v>894</v>
      </c>
      <c r="D522" s="35" t="s">
        <v>65</v>
      </c>
      <c r="E522" s="35">
        <v>800024711</v>
      </c>
      <c r="F522" s="36" t="s">
        <v>47</v>
      </c>
      <c r="G522" s="35" t="s">
        <v>48</v>
      </c>
      <c r="H522" s="51" t="s">
        <v>57</v>
      </c>
      <c r="I522" s="34" t="s">
        <v>266</v>
      </c>
      <c r="J522" s="51" t="s">
        <v>782</v>
      </c>
      <c r="K522" s="52" t="s">
        <v>60</v>
      </c>
      <c r="L522" s="51" t="s">
        <v>49</v>
      </c>
      <c r="M522" s="51" t="s">
        <v>2</v>
      </c>
      <c r="N522" s="36" t="s">
        <v>50</v>
      </c>
      <c r="O522" s="51"/>
      <c r="P522" s="51" t="s">
        <v>895</v>
      </c>
      <c r="Q522" s="37"/>
      <c r="R522" s="37"/>
      <c r="S522" s="35" t="s">
        <v>96</v>
      </c>
      <c r="T522" s="38">
        <f>+(1823640+24*((1141850+1714473+2097122)/9)+3658606+1293526+1350713+30*(1022001/14)+929210+300000+1050000+150000)*1.23*1.07</f>
        <v>34159222.58171428</v>
      </c>
      <c r="U522" s="39">
        <f>+R522</f>
        <v>0</v>
      </c>
      <c r="V522" s="131">
        <v>0</v>
      </c>
      <c r="W522" s="38">
        <v>0</v>
      </c>
      <c r="X522" s="38">
        <v>0</v>
      </c>
      <c r="Y522" s="38">
        <v>0</v>
      </c>
      <c r="Z522" s="38">
        <v>0</v>
      </c>
      <c r="AA522" s="91">
        <v>0</v>
      </c>
      <c r="AB522" s="91">
        <v>0</v>
      </c>
      <c r="AC522" s="91">
        <v>0</v>
      </c>
      <c r="AD522" s="91">
        <f>+T522*0.235*0.3</f>
        <v>2408225.1920108562</v>
      </c>
      <c r="AE522" s="91">
        <f>+T522-AF522-AF522</f>
        <v>30060115.871908568</v>
      </c>
      <c r="AF522" s="91">
        <f>+T522*0.06</f>
        <v>2049553.3549028568</v>
      </c>
      <c r="AG522" s="204">
        <v>0</v>
      </c>
    </row>
    <row r="523" spans="1:60" s="103" customFormat="1" ht="90" customHeight="1">
      <c r="A523" s="102">
        <f t="shared" si="71"/>
        <v>502</v>
      </c>
      <c r="B523" s="52"/>
      <c r="C523" s="51" t="s">
        <v>896</v>
      </c>
      <c r="D523" s="35" t="s">
        <v>65</v>
      </c>
      <c r="E523" s="35" t="s">
        <v>66</v>
      </c>
      <c r="F523" s="36" t="s">
        <v>67</v>
      </c>
      <c r="G523" s="35" t="s">
        <v>48</v>
      </c>
      <c r="H523" s="51" t="s">
        <v>57</v>
      </c>
      <c r="I523" s="34" t="s">
        <v>58</v>
      </c>
      <c r="J523" s="51" t="s">
        <v>782</v>
      </c>
      <c r="K523" s="52" t="s">
        <v>60</v>
      </c>
      <c r="L523" s="51" t="s">
        <v>49</v>
      </c>
      <c r="M523" s="51" t="s">
        <v>2</v>
      </c>
      <c r="N523" s="36" t="s">
        <v>50</v>
      </c>
      <c r="O523" s="51"/>
      <c r="P523" s="51" t="s">
        <v>897</v>
      </c>
      <c r="Q523" s="37"/>
      <c r="R523" s="37"/>
      <c r="S523" s="35" t="s">
        <v>96</v>
      </c>
      <c r="T523" s="38">
        <f>+(1823640+24*((1141850+1714473+2097122)/9)+3658606+1293526+1350713+30*(1022001/14)+1350000+600000+350000+929210+300000+1050000+150000)*1.23*1.07</f>
        <v>37186252.58171428</v>
      </c>
      <c r="U523" s="39"/>
      <c r="V523" s="131"/>
      <c r="W523" s="38">
        <v>0</v>
      </c>
      <c r="X523" s="38">
        <v>0</v>
      </c>
      <c r="Y523" s="132">
        <f>+T523*0.235*0.3</f>
        <v>2621630.8070108565</v>
      </c>
      <c r="Z523" s="38">
        <f>+T523-Y523-AA523</f>
        <v>32705309.145617709</v>
      </c>
      <c r="AA523" s="91">
        <f>+T523*0.05</f>
        <v>1859312.629085714</v>
      </c>
      <c r="AB523" s="91">
        <v>0</v>
      </c>
      <c r="AC523" s="91">
        <f>+AA523*0.1</f>
        <v>185931.2629085714</v>
      </c>
      <c r="AD523" s="91">
        <v>0</v>
      </c>
      <c r="AE523" s="91">
        <f>+AC523*1.15</f>
        <v>213820.9523448571</v>
      </c>
      <c r="AF523" s="91">
        <v>0</v>
      </c>
      <c r="AG523" s="204">
        <f>+AE523*1.15</f>
        <v>245894.09519658564</v>
      </c>
    </row>
    <row r="524" spans="1:60" s="103" customFormat="1" ht="90" customHeight="1">
      <c r="A524" s="102">
        <f t="shared" si="71"/>
        <v>503</v>
      </c>
      <c r="B524" s="52"/>
      <c r="C524" s="51" t="s">
        <v>898</v>
      </c>
      <c r="D524" s="35" t="s">
        <v>65</v>
      </c>
      <c r="E524" s="35" t="s">
        <v>66</v>
      </c>
      <c r="F524" s="36" t="s">
        <v>67</v>
      </c>
      <c r="G524" s="35" t="s">
        <v>48</v>
      </c>
      <c r="H524" s="51" t="s">
        <v>57</v>
      </c>
      <c r="I524" s="34" t="s">
        <v>721</v>
      </c>
      <c r="J524" s="52" t="s">
        <v>123</v>
      </c>
      <c r="K524" s="52"/>
      <c r="L524" s="51" t="s">
        <v>49</v>
      </c>
      <c r="M524" s="51" t="s">
        <v>2</v>
      </c>
      <c r="N524" s="36" t="s">
        <v>50</v>
      </c>
      <c r="O524" s="51"/>
      <c r="P524" s="51" t="s">
        <v>897</v>
      </c>
      <c r="Q524" s="37"/>
      <c r="R524" s="37"/>
      <c r="S524" s="35" t="s">
        <v>96</v>
      </c>
      <c r="T524" s="38">
        <f>+(1823640+24*((1141850+1714473+2097122)/9)+3658606+1293526+1350713+30*(1022001/14)+1350000+600000+350000+929210+300000+1050000+150000)*1.23*1.07</f>
        <v>37186252.58171428</v>
      </c>
      <c r="U524" s="39"/>
      <c r="V524" s="131"/>
      <c r="W524" s="38">
        <v>0</v>
      </c>
      <c r="X524" s="38">
        <v>0</v>
      </c>
      <c r="Y524" s="132">
        <f t="shared" ref="Y524:Y525" si="72">+T524*0.235*0.3</f>
        <v>2621630.8070108565</v>
      </c>
      <c r="Z524" s="38">
        <f t="shared" ref="Z524:Z525" si="73">+T524-Y524-AA524</f>
        <v>32705309.145617709</v>
      </c>
      <c r="AA524" s="91">
        <f t="shared" ref="AA524:AA525" si="74">+T524*0.05</f>
        <v>1859312.629085714</v>
      </c>
      <c r="AB524" s="91">
        <v>0</v>
      </c>
      <c r="AC524" s="91">
        <f t="shared" ref="AC524:AC525" si="75">+AA524*0.1</f>
        <v>185931.2629085714</v>
      </c>
      <c r="AD524" s="91">
        <v>0</v>
      </c>
      <c r="AE524" s="91">
        <f t="shared" ref="AE524:AE525" si="76">+AC524*1.15</f>
        <v>213820.9523448571</v>
      </c>
      <c r="AF524" s="91">
        <v>0</v>
      </c>
      <c r="AG524" s="204">
        <f t="shared" ref="AG524:AG525" si="77">+AE524*1.15</f>
        <v>245894.09519658564</v>
      </c>
    </row>
    <row r="525" spans="1:60" s="103" customFormat="1" ht="90" customHeight="1">
      <c r="A525" s="102">
        <f t="shared" si="71"/>
        <v>504</v>
      </c>
      <c r="B525" s="52"/>
      <c r="C525" s="51" t="s">
        <v>899</v>
      </c>
      <c r="D525" s="35" t="s">
        <v>73</v>
      </c>
      <c r="E525" s="35" t="s">
        <v>66</v>
      </c>
      <c r="F525" s="36" t="s">
        <v>67</v>
      </c>
      <c r="G525" s="35" t="s">
        <v>48</v>
      </c>
      <c r="H525" s="51" t="s">
        <v>57</v>
      </c>
      <c r="I525" s="34" t="s">
        <v>721</v>
      </c>
      <c r="J525" s="52" t="s">
        <v>123</v>
      </c>
      <c r="K525" s="52"/>
      <c r="L525" s="51" t="s">
        <v>49</v>
      </c>
      <c r="M525" s="51" t="s">
        <v>2</v>
      </c>
      <c r="N525" s="36" t="s">
        <v>50</v>
      </c>
      <c r="O525" s="51"/>
      <c r="P525" s="51" t="s">
        <v>900</v>
      </c>
      <c r="Q525" s="37"/>
      <c r="R525" s="37"/>
      <c r="S525" s="35" t="s">
        <v>96</v>
      </c>
      <c r="T525" s="38">
        <f>+(28*((1141850+1714473+2097122)/9)+3658606+1247367+1293526+1350713+4298671+30*(1022001/14)+1350000+600000+350000+929210+300000+1050000+150000)*1.23*1.07</f>
        <v>44982735.684847616</v>
      </c>
      <c r="U525" s="39"/>
      <c r="V525" s="131"/>
      <c r="W525" s="38">
        <v>0</v>
      </c>
      <c r="X525" s="38">
        <v>0</v>
      </c>
      <c r="Y525" s="132">
        <f t="shared" si="72"/>
        <v>3171282.8657817566</v>
      </c>
      <c r="Z525" s="38">
        <f t="shared" si="73"/>
        <v>39562316.034823477</v>
      </c>
      <c r="AA525" s="91">
        <f t="shared" si="74"/>
        <v>2249136.7842423809</v>
      </c>
      <c r="AB525" s="91">
        <v>0</v>
      </c>
      <c r="AC525" s="91">
        <f t="shared" si="75"/>
        <v>224913.67842423811</v>
      </c>
      <c r="AD525" s="91">
        <v>0</v>
      </c>
      <c r="AE525" s="91">
        <f t="shared" si="76"/>
        <v>258650.73018787382</v>
      </c>
      <c r="AF525" s="91">
        <v>0</v>
      </c>
      <c r="AG525" s="204">
        <f t="shared" si="77"/>
        <v>297448.33971605485</v>
      </c>
    </row>
    <row r="526" spans="1:60" s="103" customFormat="1" ht="90" customHeight="1">
      <c r="A526" s="102">
        <f t="shared" si="71"/>
        <v>505</v>
      </c>
      <c r="B526" s="52"/>
      <c r="C526" s="51" t="s">
        <v>901</v>
      </c>
      <c r="D526" s="35" t="s">
        <v>65</v>
      </c>
      <c r="E526" s="35" t="s">
        <v>66</v>
      </c>
      <c r="F526" s="36" t="s">
        <v>67</v>
      </c>
      <c r="G526" s="35" t="s">
        <v>48</v>
      </c>
      <c r="H526" s="51" t="s">
        <v>57</v>
      </c>
      <c r="I526" s="34" t="s">
        <v>902</v>
      </c>
      <c r="J526" s="52" t="s">
        <v>158</v>
      </c>
      <c r="K526" s="52"/>
      <c r="L526" s="51" t="s">
        <v>49</v>
      </c>
      <c r="M526" s="51" t="s">
        <v>2</v>
      </c>
      <c r="N526" s="36" t="s">
        <v>50</v>
      </c>
      <c r="O526" s="51"/>
      <c r="P526" s="51" t="s">
        <v>903</v>
      </c>
      <c r="Q526" s="37"/>
      <c r="R526" s="37"/>
      <c r="S526" s="35" t="s">
        <v>96</v>
      </c>
      <c r="T526" s="38">
        <f>+(1823640+24*((1141850+1714473+2097122)/9)+3658606+1247367+1293526+1350713+30*(1022001/14)+1350000+600000+350000+929210+300000+1050000+150000)*1.23*1.07</f>
        <v>38827912.290414289</v>
      </c>
      <c r="U526" s="39"/>
      <c r="V526" s="131"/>
      <c r="W526" s="38">
        <v>0</v>
      </c>
      <c r="X526" s="38">
        <v>0</v>
      </c>
      <c r="Y526" s="132">
        <f>+T526*0.235*0.3</f>
        <v>2737367.8164742072</v>
      </c>
      <c r="Z526" s="38">
        <f>+T526-Y526-AA526</f>
        <v>34149148.859419368</v>
      </c>
      <c r="AA526" s="91">
        <f>+T526*0.05</f>
        <v>1941395.6145207146</v>
      </c>
      <c r="AB526" s="91">
        <v>0</v>
      </c>
      <c r="AC526" s="91">
        <f>+AA526*0.1</f>
        <v>194139.56145207147</v>
      </c>
      <c r="AD526" s="91">
        <v>0</v>
      </c>
      <c r="AE526" s="91">
        <f>+AC526*1.15</f>
        <v>223260.49566988219</v>
      </c>
      <c r="AF526" s="91">
        <v>0</v>
      </c>
      <c r="AG526" s="204">
        <f>+AE526*1.15</f>
        <v>256749.57002036451</v>
      </c>
    </row>
    <row r="527" spans="1:60" s="103" customFormat="1" ht="90" customHeight="1" thickBot="1">
      <c r="A527" s="117">
        <f t="shared" si="71"/>
        <v>506</v>
      </c>
      <c r="B527" s="122"/>
      <c r="C527" s="118" t="s">
        <v>904</v>
      </c>
      <c r="D527" s="119" t="s">
        <v>65</v>
      </c>
      <c r="E527" s="119" t="s">
        <v>66</v>
      </c>
      <c r="F527" s="120" t="s">
        <v>67</v>
      </c>
      <c r="G527" s="119" t="s">
        <v>48</v>
      </c>
      <c r="H527" s="118" t="s">
        <v>57</v>
      </c>
      <c r="I527" s="121" t="s">
        <v>115</v>
      </c>
      <c r="J527" s="122" t="s">
        <v>116</v>
      </c>
      <c r="K527" s="122"/>
      <c r="L527" s="118" t="s">
        <v>49</v>
      </c>
      <c r="M527" s="118" t="s">
        <v>2</v>
      </c>
      <c r="N527" s="120" t="s">
        <v>50</v>
      </c>
      <c r="O527" s="118"/>
      <c r="P527" s="118" t="s">
        <v>903</v>
      </c>
      <c r="Q527" s="123"/>
      <c r="R527" s="123"/>
      <c r="S527" s="119" t="s">
        <v>96</v>
      </c>
      <c r="T527" s="124">
        <f>+(1823640+24*((1141850+1714473+2097122)/9)+3658606+1247367+1293526+1350713+30*(1022001/14)+1350000+600000+350000+929210+300000+1050000+150000)*1.23*1.07</f>
        <v>38827912.290414289</v>
      </c>
      <c r="U527" s="125"/>
      <c r="V527" s="134">
        <v>0</v>
      </c>
      <c r="W527" s="124">
        <v>0</v>
      </c>
      <c r="X527" s="124">
        <v>0</v>
      </c>
      <c r="Y527" s="124">
        <v>0</v>
      </c>
      <c r="Z527" s="124">
        <f>+T527*0.235*0.3</f>
        <v>2737367.8164742072</v>
      </c>
      <c r="AA527" s="126">
        <f>+T527-Z527-AB527</f>
        <v>34149148.859419368</v>
      </c>
      <c r="AB527" s="126">
        <f>+T527*0.05</f>
        <v>1941395.6145207146</v>
      </c>
      <c r="AC527" s="126">
        <v>0</v>
      </c>
      <c r="AD527" s="126">
        <f>+T527*0.01</f>
        <v>388279.12290414289</v>
      </c>
      <c r="AE527" s="126">
        <v>0</v>
      </c>
      <c r="AF527" s="126">
        <f>+AD527*1.15</f>
        <v>446520.99133976427</v>
      </c>
      <c r="AG527" s="206">
        <v>0</v>
      </c>
    </row>
    <row r="528" spans="1:60" s="9" customFormat="1" ht="30" customHeight="1" thickBot="1">
      <c r="A528" s="136"/>
      <c r="B528" s="137"/>
      <c r="C528" s="138"/>
      <c r="D528" s="139"/>
      <c r="E528" s="139"/>
      <c r="F528" s="139"/>
      <c r="G528" s="139"/>
      <c r="H528" s="140"/>
      <c r="I528" s="141"/>
      <c r="J528" s="137"/>
      <c r="K528" s="137"/>
      <c r="L528" s="137"/>
      <c r="M528" s="140"/>
      <c r="N528" s="140"/>
      <c r="O528" s="137"/>
      <c r="P528" s="140"/>
      <c r="Q528" s="142"/>
      <c r="R528" s="142"/>
      <c r="S528" s="139"/>
      <c r="T528" s="143">
        <f>SUM(T22:T519)</f>
        <v>7386931785.8816547</v>
      </c>
      <c r="U528" s="144"/>
      <c r="V528" s="145">
        <f>SUM(V99:V519)</f>
        <v>12000000</v>
      </c>
      <c r="W528" s="143">
        <f>SUM(W22:W520)</f>
        <v>561870754.22367847</v>
      </c>
      <c r="X528" s="143">
        <f t="shared" ref="X528:AG528" si="78">SUM(X22:X519)</f>
        <v>1105968400.8083043</v>
      </c>
      <c r="Y528" s="143">
        <f t="shared" si="78"/>
        <v>1308982054.6117933</v>
      </c>
      <c r="Z528" s="143">
        <f t="shared" si="78"/>
        <v>1251782198.0764139</v>
      </c>
      <c r="AA528" s="143">
        <f t="shared" si="78"/>
        <v>1460117891.6858332</v>
      </c>
      <c r="AB528" s="143">
        <f t="shared" si="78"/>
        <v>1155060719.620019</v>
      </c>
      <c r="AC528" s="143">
        <f t="shared" si="78"/>
        <v>811124797.97360516</v>
      </c>
      <c r="AD528" s="143">
        <f t="shared" si="78"/>
        <v>430802817.89063531</v>
      </c>
      <c r="AE528" s="143">
        <f t="shared" si="78"/>
        <v>421770956.98788762</v>
      </c>
      <c r="AF528" s="143">
        <f t="shared" si="78"/>
        <v>321029574.76696932</v>
      </c>
      <c r="AG528" s="146">
        <f t="shared" si="78"/>
        <v>369359204.37142456</v>
      </c>
      <c r="AH528" s="135"/>
      <c r="AI528" s="43"/>
      <c r="AJ528" s="42"/>
      <c r="AK528" s="41"/>
      <c r="AL528" s="41"/>
      <c r="AM528" s="41"/>
      <c r="AN528" s="41"/>
      <c r="AO528" s="41"/>
      <c r="AP528" s="41"/>
      <c r="AQ528" s="41"/>
      <c r="AR528" s="48"/>
      <c r="AS528" s="44"/>
      <c r="AT528" s="46"/>
      <c r="AU528" s="46"/>
      <c r="AV528" s="49"/>
      <c r="AW528" s="40"/>
      <c r="AX528" s="45"/>
      <c r="AY528" s="45"/>
      <c r="AZ528" s="47"/>
      <c r="BA528" s="56"/>
      <c r="BB528" s="53"/>
      <c r="BC528" s="53"/>
      <c r="BD528" s="53"/>
      <c r="BE528" s="53"/>
      <c r="BF528" s="50"/>
      <c r="BG528" s="54"/>
      <c r="BH528" s="54"/>
    </row>
    <row r="529" spans="1:16382" s="69" customFormat="1" ht="66" customHeight="1" thickBot="1">
      <c r="A529" s="147" t="s">
        <v>905</v>
      </c>
      <c r="B529" s="148"/>
      <c r="C529" s="149"/>
      <c r="D529" s="149"/>
      <c r="E529" s="148"/>
      <c r="F529" s="150" t="s">
        <v>906</v>
      </c>
      <c r="G529" s="151"/>
      <c r="H529" s="151"/>
      <c r="I529" s="152" t="s">
        <v>907</v>
      </c>
      <c r="J529" s="153"/>
      <c r="K529" s="154"/>
      <c r="L529" s="155"/>
      <c r="M529" s="155"/>
      <c r="N529" s="155"/>
      <c r="O529" s="156"/>
      <c r="P529" s="157"/>
      <c r="Q529" s="158"/>
      <c r="R529" s="158"/>
      <c r="S529" s="158"/>
      <c r="T529" s="148"/>
      <c r="U529" s="159"/>
      <c r="V529" s="159"/>
      <c r="W529" s="160"/>
      <c r="X529" s="148"/>
      <c r="Y529" s="161"/>
      <c r="Z529" s="148"/>
      <c r="AA529" s="162"/>
      <c r="AB529" s="162"/>
      <c r="AC529" s="162"/>
      <c r="AD529" s="162"/>
      <c r="AE529" s="162"/>
      <c r="AF529" s="162"/>
      <c r="AG529" s="163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</row>
    <row r="530" spans="1:16382" s="68" customFormat="1" ht="17.25" customHeight="1">
      <c r="A530" s="164"/>
      <c r="B530" s="78"/>
      <c r="C530" s="70"/>
      <c r="D530" s="70"/>
      <c r="E530" s="78"/>
      <c r="F530" s="71"/>
      <c r="G530" s="72"/>
      <c r="H530" s="72"/>
      <c r="I530" s="78"/>
      <c r="J530" s="73"/>
      <c r="K530" s="74"/>
      <c r="L530" s="75"/>
      <c r="M530" s="75"/>
      <c r="N530" s="75"/>
      <c r="O530" s="76"/>
      <c r="P530" s="44"/>
      <c r="Q530" s="44"/>
      <c r="R530" s="44"/>
      <c r="S530" s="44"/>
      <c r="T530" s="44"/>
      <c r="U530" s="44"/>
      <c r="V530" s="165"/>
      <c r="W530" s="77"/>
      <c r="X530" s="78"/>
      <c r="Y530" s="166"/>
      <c r="Z530" s="78"/>
      <c r="AA530" s="93"/>
      <c r="AB530" s="93"/>
      <c r="AC530" s="93"/>
      <c r="AD530" s="93"/>
      <c r="AE530" s="93"/>
      <c r="AF530" s="93"/>
      <c r="AG530" s="167"/>
    </row>
    <row r="531" spans="1:16382" s="69" customFormat="1" ht="66" customHeight="1" thickBot="1">
      <c r="A531" s="168" t="s">
        <v>908</v>
      </c>
      <c r="B531" s="66"/>
      <c r="C531" s="57"/>
      <c r="D531" s="57"/>
      <c r="E531" s="66"/>
      <c r="F531" s="58" t="s">
        <v>906</v>
      </c>
      <c r="G531" s="59"/>
      <c r="H531" s="59"/>
      <c r="I531" s="60" t="s">
        <v>909</v>
      </c>
      <c r="J531" s="61"/>
      <c r="K531" s="62"/>
      <c r="L531" s="63"/>
      <c r="M531" s="63"/>
      <c r="N531" s="63"/>
      <c r="O531" s="64"/>
      <c r="P531" s="105"/>
      <c r="Q531" s="65"/>
      <c r="R531" s="65"/>
      <c r="S531" s="65"/>
      <c r="T531" s="66"/>
      <c r="U531" s="44"/>
      <c r="V531" s="165"/>
      <c r="W531" s="67"/>
      <c r="X531" s="66"/>
      <c r="Y531" s="169"/>
      <c r="Z531" s="66"/>
      <c r="AA531" s="92"/>
      <c r="AB531" s="92"/>
      <c r="AC531" s="92"/>
      <c r="AD531" s="92"/>
      <c r="AE531" s="92"/>
      <c r="AF531" s="92"/>
      <c r="AG531" s="170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</row>
    <row r="532" spans="1:16382" ht="15.75" customHeight="1">
      <c r="A532" s="171"/>
      <c r="B532" s="172"/>
      <c r="C532" s="225"/>
      <c r="D532" s="226"/>
      <c r="E532" s="226"/>
      <c r="F532" s="226"/>
      <c r="G532" s="226"/>
      <c r="H532" s="226"/>
      <c r="I532" s="173"/>
      <c r="J532" s="172"/>
      <c r="K532" s="172"/>
      <c r="L532" s="174"/>
      <c r="M532" s="175"/>
      <c r="N532" s="174"/>
      <c r="O532" s="172"/>
      <c r="P532" s="44"/>
      <c r="Q532" s="44"/>
      <c r="R532" s="44"/>
      <c r="S532" s="44"/>
      <c r="T532" s="44"/>
      <c r="U532" s="44"/>
      <c r="V532" s="90"/>
      <c r="Y532" s="176"/>
      <c r="Z532" s="80"/>
      <c r="AA532" s="80"/>
      <c r="AB532" s="80"/>
      <c r="AC532" s="80"/>
      <c r="AD532" s="80"/>
      <c r="AE532" s="80"/>
      <c r="AF532" s="80"/>
      <c r="AG532" s="177"/>
    </row>
    <row r="533" spans="1:16382">
      <c r="A533" s="178"/>
      <c r="B533" s="179"/>
      <c r="C533" s="227"/>
      <c r="D533" s="228"/>
      <c r="E533" s="228"/>
      <c r="F533" s="228"/>
      <c r="G533" s="228"/>
      <c r="H533" s="227"/>
      <c r="I533" s="180"/>
      <c r="J533" s="179"/>
      <c r="K533" s="179"/>
      <c r="L533" s="181"/>
      <c r="M533" s="182"/>
      <c r="N533" s="181"/>
      <c r="O533" s="179"/>
      <c r="P533" s="182"/>
      <c r="Q533" s="183"/>
      <c r="R533" s="183"/>
      <c r="S533" s="184"/>
      <c r="T533" s="83"/>
      <c r="U533" s="185"/>
      <c r="V533" s="90"/>
      <c r="W533" s="82"/>
      <c r="X533" s="83"/>
      <c r="Y533" s="186"/>
      <c r="Z533" s="83"/>
      <c r="AA533" s="83"/>
      <c r="AB533" s="83"/>
      <c r="AC533" s="83"/>
      <c r="AD533" s="83"/>
      <c r="AE533" s="83"/>
      <c r="AF533" s="83"/>
      <c r="AG533" s="187"/>
    </row>
    <row r="534" spans="1:16382" s="9" customFormat="1" ht="42.75" customHeight="1" thickBot="1">
      <c r="A534" s="168" t="s">
        <v>910</v>
      </c>
      <c r="B534" s="66"/>
      <c r="C534" s="57"/>
      <c r="D534" s="57"/>
      <c r="E534" s="66"/>
      <c r="F534" s="58" t="s">
        <v>911</v>
      </c>
      <c r="G534" s="59"/>
      <c r="H534" s="59"/>
      <c r="I534" s="60" t="s">
        <v>912</v>
      </c>
      <c r="J534" s="61"/>
      <c r="K534" s="62"/>
      <c r="L534" s="63"/>
      <c r="M534" s="63"/>
      <c r="N534" s="63"/>
      <c r="O534" s="64"/>
      <c r="P534" s="105"/>
      <c r="Q534" s="65"/>
      <c r="R534" s="65"/>
      <c r="S534" s="65"/>
      <c r="T534" s="66"/>
      <c r="U534" s="84"/>
      <c r="V534" s="84"/>
      <c r="W534" s="67"/>
      <c r="X534" s="66"/>
      <c r="Y534" s="169"/>
      <c r="Z534" s="66"/>
      <c r="AA534" s="92"/>
      <c r="AB534" s="92"/>
      <c r="AC534" s="92"/>
      <c r="AD534" s="92"/>
      <c r="AE534" s="92"/>
      <c r="AF534" s="92"/>
      <c r="AG534" s="170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9"/>
      <c r="BZ534" s="69"/>
      <c r="CA534" s="69"/>
      <c r="CB534" s="69"/>
      <c r="CC534" s="69"/>
      <c r="CD534" s="69"/>
      <c r="CE534" s="69"/>
      <c r="CF534" s="69"/>
      <c r="CG534" s="69"/>
      <c r="CH534" s="69"/>
      <c r="CI534" s="69"/>
      <c r="CJ534" s="69"/>
      <c r="CK534" s="69"/>
      <c r="CL534" s="69"/>
      <c r="CM534" s="69"/>
      <c r="CN534" s="69"/>
      <c r="CO534" s="69"/>
      <c r="CP534" s="69"/>
      <c r="CQ534" s="69"/>
      <c r="CR534" s="69"/>
      <c r="CS534" s="69"/>
      <c r="CT534" s="69"/>
      <c r="CU534" s="69"/>
      <c r="CV534" s="69"/>
      <c r="CW534" s="69"/>
      <c r="CX534" s="69"/>
      <c r="CY534" s="69"/>
      <c r="CZ534" s="69"/>
      <c r="DA534" s="69"/>
      <c r="DB534" s="69"/>
      <c r="DC534" s="69"/>
      <c r="DD534" s="69"/>
      <c r="DE534" s="69"/>
      <c r="DF534" s="69"/>
      <c r="DG534" s="69"/>
      <c r="DH534" s="69"/>
      <c r="DI534" s="69"/>
      <c r="DJ534" s="69"/>
      <c r="DK534" s="69"/>
      <c r="DL534" s="69"/>
      <c r="DM534" s="69"/>
      <c r="DN534" s="69"/>
      <c r="DO534" s="69"/>
      <c r="DP534" s="69"/>
      <c r="DQ534" s="69"/>
      <c r="DR534" s="69"/>
      <c r="DS534" s="69"/>
      <c r="DT534" s="69"/>
      <c r="DU534" s="69"/>
      <c r="DV534" s="69"/>
      <c r="DW534" s="69"/>
      <c r="DX534" s="69"/>
      <c r="DY534" s="69"/>
      <c r="DZ534" s="69"/>
      <c r="EA534" s="69"/>
      <c r="EB534" s="69"/>
      <c r="EC534" s="69"/>
      <c r="ED534" s="69"/>
      <c r="EE534" s="69"/>
      <c r="EF534" s="69"/>
      <c r="EG534" s="69"/>
      <c r="EH534" s="69"/>
      <c r="EI534" s="69"/>
      <c r="EJ534" s="69"/>
      <c r="EK534" s="69"/>
      <c r="EL534" s="69"/>
      <c r="EM534" s="69"/>
      <c r="EN534" s="69"/>
      <c r="EO534" s="69"/>
      <c r="EP534" s="69"/>
      <c r="EQ534" s="69"/>
      <c r="ER534" s="69"/>
      <c r="ES534" s="69"/>
      <c r="ET534" s="69"/>
      <c r="EU534" s="69"/>
      <c r="EV534" s="69"/>
      <c r="EW534" s="69"/>
      <c r="EX534" s="69"/>
      <c r="EY534" s="69"/>
      <c r="EZ534" s="69"/>
      <c r="FA534" s="69"/>
      <c r="FB534" s="69"/>
      <c r="FC534" s="69"/>
      <c r="FD534" s="69"/>
      <c r="FE534" s="69"/>
      <c r="FF534" s="69"/>
      <c r="FG534" s="69"/>
      <c r="FH534" s="69"/>
      <c r="FI534" s="69"/>
      <c r="FJ534" s="69"/>
      <c r="FK534" s="69"/>
      <c r="FL534" s="69"/>
      <c r="FM534" s="69"/>
      <c r="FN534" s="69"/>
      <c r="FO534" s="69"/>
      <c r="FP534" s="69"/>
      <c r="FQ534" s="69"/>
      <c r="FR534" s="69"/>
      <c r="FS534" s="69"/>
      <c r="FT534" s="69"/>
      <c r="FU534" s="69"/>
      <c r="FV534" s="69"/>
      <c r="FW534" s="69"/>
      <c r="FX534" s="69"/>
      <c r="FY534" s="69"/>
      <c r="FZ534" s="69"/>
      <c r="GA534" s="69"/>
      <c r="GB534" s="69"/>
      <c r="GC534" s="69"/>
      <c r="GD534" s="69"/>
      <c r="GE534" s="69"/>
      <c r="GF534" s="69"/>
      <c r="GG534" s="69"/>
      <c r="GH534" s="69"/>
      <c r="GI534" s="69"/>
      <c r="GJ534" s="69"/>
      <c r="GK534" s="69"/>
      <c r="GL534" s="69"/>
      <c r="GM534" s="69"/>
      <c r="GN534" s="69"/>
      <c r="GO534" s="69"/>
      <c r="GP534" s="69"/>
      <c r="GQ534" s="69"/>
      <c r="GR534" s="69"/>
      <c r="GS534" s="69"/>
      <c r="GT534" s="69"/>
      <c r="GU534" s="69"/>
      <c r="GV534" s="69"/>
      <c r="GW534" s="69"/>
      <c r="GX534" s="69"/>
      <c r="GY534" s="69"/>
      <c r="GZ534" s="69"/>
      <c r="HA534" s="69"/>
      <c r="HB534" s="69"/>
      <c r="HC534" s="69"/>
      <c r="HD534" s="69"/>
      <c r="HE534" s="69"/>
      <c r="HF534" s="69"/>
      <c r="HG534" s="69"/>
      <c r="HH534" s="69"/>
      <c r="HI534" s="69"/>
      <c r="HJ534" s="69"/>
      <c r="HK534" s="69"/>
      <c r="HL534" s="69"/>
      <c r="HM534" s="69"/>
      <c r="HN534" s="69"/>
      <c r="HO534" s="69"/>
      <c r="HP534" s="69"/>
      <c r="HQ534" s="69"/>
      <c r="HR534" s="69"/>
      <c r="HS534" s="69"/>
      <c r="HT534" s="69"/>
      <c r="HU534" s="69"/>
      <c r="HV534" s="69"/>
      <c r="HW534" s="69"/>
      <c r="HX534" s="69"/>
      <c r="HY534" s="69"/>
      <c r="HZ534" s="69"/>
      <c r="IA534" s="69"/>
      <c r="IB534" s="69"/>
      <c r="IC534" s="69"/>
      <c r="ID534" s="69"/>
      <c r="IE534" s="69"/>
      <c r="IF534" s="69"/>
      <c r="IG534" s="69"/>
      <c r="IH534" s="69"/>
      <c r="II534" s="69"/>
      <c r="IJ534" s="69"/>
      <c r="IK534" s="69"/>
      <c r="IL534" s="69"/>
      <c r="IM534" s="69"/>
      <c r="IN534" s="69"/>
      <c r="IO534" s="69"/>
      <c r="IP534" s="69"/>
      <c r="IQ534" s="69"/>
      <c r="IR534" s="69"/>
      <c r="IS534" s="69"/>
      <c r="IT534" s="69"/>
      <c r="IU534" s="69"/>
      <c r="IV534" s="69"/>
      <c r="IW534" s="69"/>
      <c r="IX534" s="69"/>
      <c r="IY534" s="69"/>
      <c r="IZ534" s="69"/>
      <c r="JA534" s="69"/>
      <c r="JB534" s="69"/>
      <c r="JC534" s="69"/>
      <c r="JD534" s="69"/>
      <c r="JE534" s="69"/>
      <c r="JF534" s="69"/>
      <c r="JG534" s="69"/>
      <c r="JH534" s="69"/>
      <c r="JI534" s="69"/>
      <c r="JJ534" s="69"/>
      <c r="JK534" s="69"/>
      <c r="JL534" s="69"/>
      <c r="JM534" s="69"/>
      <c r="JN534" s="69"/>
      <c r="JO534" s="69"/>
      <c r="JP534" s="69"/>
      <c r="JQ534" s="69"/>
      <c r="JR534" s="69"/>
      <c r="JS534" s="69"/>
      <c r="JT534" s="69"/>
      <c r="JU534" s="69"/>
      <c r="JV534" s="69"/>
      <c r="JW534" s="69"/>
      <c r="JX534" s="69"/>
      <c r="JY534" s="69"/>
      <c r="JZ534" s="69"/>
      <c r="KA534" s="69"/>
      <c r="KB534" s="69"/>
      <c r="KC534" s="69"/>
      <c r="KD534" s="69"/>
      <c r="KE534" s="69"/>
      <c r="KF534" s="69"/>
      <c r="KG534" s="69"/>
      <c r="KH534" s="69"/>
      <c r="KI534" s="69"/>
      <c r="KJ534" s="69"/>
      <c r="KK534" s="69"/>
      <c r="KL534" s="69"/>
      <c r="KM534" s="69"/>
      <c r="KN534" s="69"/>
      <c r="KO534" s="69"/>
      <c r="KP534" s="69"/>
      <c r="KQ534" s="69"/>
      <c r="KR534" s="69"/>
      <c r="KS534" s="69"/>
      <c r="KT534" s="69"/>
      <c r="KU534" s="69"/>
      <c r="KV534" s="69"/>
      <c r="KW534" s="69"/>
      <c r="KX534" s="69"/>
      <c r="KY534" s="69"/>
      <c r="KZ534" s="69"/>
      <c r="LA534" s="69"/>
      <c r="LB534" s="69"/>
      <c r="LC534" s="69"/>
      <c r="LD534" s="69"/>
      <c r="LE534" s="69"/>
      <c r="LF534" s="69"/>
      <c r="LG534" s="69"/>
      <c r="LH534" s="69"/>
      <c r="LI534" s="69"/>
      <c r="LJ534" s="69"/>
      <c r="LK534" s="69"/>
      <c r="LL534" s="69"/>
      <c r="LM534" s="69"/>
      <c r="LN534" s="69"/>
      <c r="LO534" s="69"/>
      <c r="LP534" s="69"/>
      <c r="LQ534" s="69"/>
      <c r="LR534" s="69"/>
      <c r="LS534" s="69"/>
      <c r="LT534" s="69"/>
      <c r="LU534" s="69"/>
      <c r="LV534" s="69"/>
      <c r="LW534" s="69"/>
      <c r="LX534" s="69"/>
      <c r="LY534" s="69"/>
      <c r="LZ534" s="69"/>
      <c r="MA534" s="69"/>
      <c r="MB534" s="69"/>
      <c r="MC534" s="69"/>
      <c r="MD534" s="69"/>
      <c r="ME534" s="69"/>
      <c r="MF534" s="69"/>
      <c r="MG534" s="69"/>
      <c r="MH534" s="69"/>
      <c r="MI534" s="69"/>
      <c r="MJ534" s="69"/>
      <c r="MK534" s="69"/>
      <c r="ML534" s="69"/>
      <c r="MM534" s="69"/>
      <c r="MN534" s="69"/>
      <c r="MO534" s="69"/>
      <c r="MP534" s="69"/>
      <c r="MQ534" s="69"/>
      <c r="MR534" s="69"/>
      <c r="MS534" s="69"/>
      <c r="MT534" s="69"/>
      <c r="MU534" s="69"/>
      <c r="MV534" s="69"/>
      <c r="MW534" s="69"/>
      <c r="MX534" s="69"/>
      <c r="MY534" s="69"/>
      <c r="MZ534" s="69"/>
      <c r="NA534" s="69"/>
      <c r="NB534" s="69"/>
      <c r="NC534" s="69"/>
      <c r="ND534" s="69"/>
      <c r="NE534" s="69"/>
      <c r="NF534" s="69"/>
      <c r="NG534" s="69"/>
      <c r="NH534" s="69"/>
      <c r="NI534" s="69"/>
      <c r="NJ534" s="69"/>
      <c r="NK534" s="69"/>
      <c r="NL534" s="69"/>
      <c r="NM534" s="69"/>
      <c r="NN534" s="69"/>
      <c r="NO534" s="69"/>
      <c r="NP534" s="69"/>
      <c r="NQ534" s="69"/>
      <c r="NR534" s="69"/>
      <c r="NS534" s="69"/>
      <c r="NT534" s="69"/>
      <c r="NU534" s="69"/>
      <c r="NV534" s="69"/>
      <c r="NW534" s="69"/>
      <c r="NX534" s="69"/>
      <c r="NY534" s="69"/>
      <c r="NZ534" s="69"/>
      <c r="OA534" s="69"/>
      <c r="OB534" s="69"/>
      <c r="OC534" s="69"/>
      <c r="OD534" s="69"/>
      <c r="OE534" s="69"/>
      <c r="OF534" s="69"/>
      <c r="OG534" s="69"/>
      <c r="OH534" s="69"/>
      <c r="OI534" s="69"/>
      <c r="OJ534" s="69"/>
      <c r="OK534" s="69"/>
      <c r="OL534" s="69"/>
      <c r="OM534" s="69"/>
      <c r="ON534" s="69"/>
      <c r="OO534" s="69"/>
      <c r="OP534" s="69"/>
      <c r="OQ534" s="69"/>
      <c r="OR534" s="69"/>
      <c r="OS534" s="69"/>
      <c r="OT534" s="69"/>
      <c r="OU534" s="69"/>
      <c r="OV534" s="69"/>
      <c r="OW534" s="69"/>
      <c r="OX534" s="69"/>
      <c r="OY534" s="69"/>
      <c r="OZ534" s="69"/>
      <c r="PA534" s="69"/>
      <c r="PB534" s="69"/>
      <c r="PC534" s="69"/>
      <c r="PD534" s="69"/>
      <c r="PE534" s="69"/>
      <c r="PF534" s="69"/>
      <c r="PG534" s="69"/>
      <c r="PH534" s="69"/>
      <c r="PI534" s="69"/>
      <c r="PJ534" s="69"/>
      <c r="PK534" s="69"/>
      <c r="PL534" s="69"/>
      <c r="PM534" s="69"/>
      <c r="PN534" s="69"/>
      <c r="PO534" s="69"/>
      <c r="PP534" s="69"/>
      <c r="PQ534" s="69"/>
      <c r="PR534" s="69"/>
      <c r="PS534" s="69"/>
      <c r="PT534" s="69"/>
      <c r="PU534" s="69"/>
      <c r="PV534" s="69"/>
      <c r="PW534" s="69"/>
      <c r="PX534" s="69"/>
      <c r="PY534" s="69"/>
      <c r="PZ534" s="69"/>
      <c r="QA534" s="69"/>
      <c r="QB534" s="69"/>
      <c r="QC534" s="69"/>
      <c r="QD534" s="69"/>
      <c r="QE534" s="69"/>
      <c r="QF534" s="69"/>
      <c r="QG534" s="69"/>
      <c r="QH534" s="69"/>
      <c r="QI534" s="69"/>
      <c r="QJ534" s="69"/>
      <c r="QK534" s="69"/>
      <c r="QL534" s="69"/>
      <c r="QM534" s="69"/>
      <c r="QN534" s="69"/>
      <c r="QO534" s="69"/>
      <c r="QP534" s="69"/>
      <c r="QQ534" s="69"/>
      <c r="QR534" s="69"/>
      <c r="QS534" s="69"/>
      <c r="QT534" s="69"/>
      <c r="QU534" s="69"/>
      <c r="QV534" s="69"/>
      <c r="QW534" s="69"/>
      <c r="QX534" s="69"/>
      <c r="QY534" s="69"/>
      <c r="QZ534" s="69"/>
      <c r="RA534" s="69"/>
      <c r="RB534" s="69"/>
      <c r="RC534" s="69"/>
      <c r="RD534" s="69"/>
      <c r="RE534" s="69"/>
      <c r="RF534" s="69"/>
      <c r="RG534" s="69"/>
      <c r="RH534" s="69"/>
      <c r="RI534" s="69"/>
      <c r="RJ534" s="69"/>
      <c r="RK534" s="69"/>
      <c r="RL534" s="69"/>
      <c r="RM534" s="69"/>
      <c r="RN534" s="69"/>
      <c r="RO534" s="69"/>
      <c r="RP534" s="69"/>
      <c r="RQ534" s="69"/>
      <c r="RR534" s="69"/>
      <c r="RS534" s="69"/>
      <c r="RT534" s="69"/>
      <c r="RU534" s="69"/>
      <c r="RV534" s="69"/>
      <c r="RW534" s="69"/>
      <c r="RX534" s="69"/>
      <c r="RY534" s="69"/>
      <c r="RZ534" s="69"/>
      <c r="SA534" s="69"/>
      <c r="SB534" s="69"/>
      <c r="SC534" s="69"/>
      <c r="SD534" s="69"/>
      <c r="SE534" s="69"/>
      <c r="SF534" s="69"/>
      <c r="SG534" s="69"/>
      <c r="SH534" s="69"/>
      <c r="SI534" s="69"/>
      <c r="SJ534" s="69"/>
      <c r="SK534" s="69"/>
      <c r="SL534" s="69"/>
      <c r="SM534" s="69"/>
      <c r="SN534" s="69"/>
      <c r="SO534" s="69"/>
      <c r="SP534" s="69"/>
      <c r="SQ534" s="69"/>
      <c r="SR534" s="69"/>
      <c r="SS534" s="69"/>
      <c r="ST534" s="69"/>
      <c r="SU534" s="69"/>
      <c r="SV534" s="69"/>
      <c r="SW534" s="69"/>
      <c r="SX534" s="69"/>
      <c r="SY534" s="69"/>
      <c r="SZ534" s="69"/>
      <c r="TA534" s="69"/>
      <c r="TB534" s="69"/>
      <c r="TC534" s="69"/>
      <c r="TD534" s="69"/>
      <c r="TE534" s="69"/>
      <c r="TF534" s="69"/>
      <c r="TG534" s="69"/>
      <c r="TH534" s="69"/>
      <c r="TI534" s="69"/>
      <c r="TJ534" s="69"/>
      <c r="TK534" s="69"/>
      <c r="TL534" s="69"/>
      <c r="TM534" s="69"/>
      <c r="TN534" s="69"/>
      <c r="TO534" s="69"/>
      <c r="TP534" s="69"/>
      <c r="TQ534" s="69"/>
      <c r="TR534" s="69"/>
      <c r="TS534" s="69"/>
      <c r="TT534" s="69"/>
      <c r="TU534" s="69"/>
      <c r="TV534" s="69"/>
      <c r="TW534" s="69"/>
      <c r="TX534" s="69"/>
      <c r="TY534" s="69"/>
      <c r="TZ534" s="69"/>
      <c r="UA534" s="69"/>
      <c r="UB534" s="69"/>
      <c r="UC534" s="69"/>
      <c r="UD534" s="69"/>
      <c r="UE534" s="69"/>
      <c r="UF534" s="69"/>
      <c r="UG534" s="69"/>
      <c r="UH534" s="69"/>
      <c r="UI534" s="69"/>
      <c r="UJ534" s="69"/>
      <c r="UK534" s="69"/>
      <c r="UL534" s="69"/>
      <c r="UM534" s="69"/>
      <c r="UN534" s="69"/>
      <c r="UO534" s="69"/>
      <c r="UP534" s="69"/>
      <c r="UQ534" s="69"/>
      <c r="UR534" s="69"/>
      <c r="US534" s="69"/>
      <c r="UT534" s="69"/>
      <c r="UU534" s="69"/>
      <c r="UV534" s="69"/>
      <c r="UW534" s="69"/>
      <c r="UX534" s="69"/>
      <c r="UY534" s="69"/>
      <c r="UZ534" s="69"/>
      <c r="VA534" s="69"/>
      <c r="VB534" s="69"/>
      <c r="VC534" s="69"/>
      <c r="VD534" s="69"/>
      <c r="VE534" s="69"/>
      <c r="VF534" s="69"/>
      <c r="VG534" s="69"/>
      <c r="VH534" s="69"/>
      <c r="VI534" s="69"/>
      <c r="VJ534" s="69"/>
      <c r="VK534" s="69"/>
      <c r="VL534" s="69"/>
      <c r="VM534" s="69"/>
      <c r="VN534" s="69"/>
      <c r="VO534" s="69"/>
      <c r="VP534" s="69"/>
      <c r="VQ534" s="69"/>
      <c r="VR534" s="69"/>
      <c r="VS534" s="69"/>
      <c r="VT534" s="69"/>
      <c r="VU534" s="69"/>
      <c r="VV534" s="69"/>
      <c r="VW534" s="69"/>
      <c r="VX534" s="69"/>
      <c r="VY534" s="69"/>
      <c r="VZ534" s="69"/>
      <c r="WA534" s="69"/>
      <c r="WB534" s="69"/>
      <c r="WC534" s="69"/>
      <c r="WD534" s="69"/>
      <c r="WE534" s="69"/>
      <c r="WF534" s="69"/>
      <c r="WG534" s="69"/>
      <c r="WH534" s="69"/>
      <c r="WI534" s="69"/>
      <c r="WJ534" s="69"/>
      <c r="WK534" s="69"/>
      <c r="WL534" s="69"/>
      <c r="WM534" s="69"/>
      <c r="WN534" s="69"/>
      <c r="WO534" s="69"/>
      <c r="WP534" s="69"/>
      <c r="WQ534" s="69"/>
      <c r="WR534" s="69"/>
      <c r="WS534" s="69"/>
      <c r="WT534" s="69"/>
      <c r="WU534" s="69"/>
      <c r="WV534" s="69"/>
      <c r="WW534" s="69"/>
      <c r="WX534" s="69"/>
      <c r="WY534" s="69"/>
      <c r="WZ534" s="69"/>
      <c r="XA534" s="69"/>
      <c r="XB534" s="69"/>
      <c r="XC534" s="69"/>
      <c r="XD534" s="69"/>
      <c r="XE534" s="69"/>
      <c r="XF534" s="69"/>
      <c r="XG534" s="69"/>
      <c r="XH534" s="69"/>
      <c r="XI534" s="69"/>
      <c r="XJ534" s="69"/>
      <c r="XK534" s="69"/>
      <c r="XL534" s="69"/>
      <c r="XM534" s="69"/>
      <c r="XN534" s="69"/>
      <c r="XO534" s="69"/>
      <c r="XP534" s="69"/>
      <c r="XQ534" s="69"/>
      <c r="XR534" s="69"/>
      <c r="XS534" s="69"/>
      <c r="XT534" s="69"/>
      <c r="XU534" s="69"/>
      <c r="XV534" s="69"/>
      <c r="XW534" s="69"/>
      <c r="XX534" s="69"/>
      <c r="XY534" s="69"/>
      <c r="XZ534" s="69"/>
      <c r="YA534" s="69"/>
      <c r="YB534" s="69"/>
      <c r="YC534" s="69"/>
      <c r="YD534" s="69"/>
      <c r="YE534" s="69"/>
      <c r="YF534" s="69"/>
      <c r="YG534" s="69"/>
      <c r="YH534" s="69"/>
      <c r="YI534" s="69"/>
      <c r="YJ534" s="69"/>
      <c r="YK534" s="69"/>
      <c r="YL534" s="69"/>
      <c r="YM534" s="69"/>
      <c r="YN534" s="69"/>
      <c r="YO534" s="69"/>
      <c r="YP534" s="69"/>
      <c r="YQ534" s="69"/>
      <c r="YR534" s="69"/>
      <c r="YS534" s="69"/>
      <c r="YT534" s="69"/>
      <c r="YU534" s="69"/>
      <c r="YV534" s="69"/>
      <c r="YW534" s="69"/>
      <c r="YX534" s="69"/>
      <c r="YY534" s="69"/>
      <c r="YZ534" s="69"/>
      <c r="ZA534" s="69"/>
      <c r="ZB534" s="69"/>
      <c r="ZC534" s="69"/>
      <c r="ZD534" s="69"/>
      <c r="ZE534" s="69"/>
      <c r="ZF534" s="69"/>
      <c r="ZG534" s="69"/>
      <c r="ZH534" s="69"/>
      <c r="ZI534" s="69"/>
      <c r="ZJ534" s="69"/>
      <c r="ZK534" s="69"/>
      <c r="ZL534" s="69"/>
      <c r="ZM534" s="69"/>
      <c r="ZN534" s="69"/>
      <c r="ZO534" s="69"/>
      <c r="ZP534" s="69"/>
      <c r="ZQ534" s="69"/>
      <c r="ZR534" s="69"/>
      <c r="ZS534" s="69"/>
      <c r="ZT534" s="69"/>
      <c r="ZU534" s="69"/>
      <c r="ZV534" s="69"/>
      <c r="ZW534" s="69"/>
      <c r="ZX534" s="69"/>
      <c r="ZY534" s="69"/>
      <c r="ZZ534" s="69"/>
      <c r="AAA534" s="69"/>
      <c r="AAB534" s="69"/>
      <c r="AAC534" s="69"/>
      <c r="AAD534" s="69"/>
      <c r="AAE534" s="69"/>
      <c r="AAF534" s="69"/>
      <c r="AAG534" s="69"/>
      <c r="AAH534" s="69"/>
      <c r="AAI534" s="69"/>
      <c r="AAJ534" s="69"/>
      <c r="AAK534" s="69"/>
      <c r="AAL534" s="69"/>
      <c r="AAM534" s="69"/>
      <c r="AAN534" s="69"/>
      <c r="AAO534" s="69"/>
      <c r="AAP534" s="69"/>
      <c r="AAQ534" s="69"/>
      <c r="AAR534" s="69"/>
      <c r="AAS534" s="69"/>
      <c r="AAT534" s="69"/>
      <c r="AAU534" s="69"/>
      <c r="AAV534" s="69"/>
      <c r="AAW534" s="69"/>
      <c r="AAX534" s="69"/>
      <c r="AAY534" s="69"/>
      <c r="AAZ534" s="69"/>
      <c r="ABA534" s="69"/>
      <c r="ABB534" s="69"/>
      <c r="ABC534" s="69"/>
      <c r="ABD534" s="69"/>
      <c r="ABE534" s="69"/>
      <c r="ABF534" s="69"/>
      <c r="ABG534" s="69"/>
      <c r="ABH534" s="69"/>
      <c r="ABI534" s="69"/>
      <c r="ABJ534" s="69"/>
      <c r="ABK534" s="69"/>
      <c r="ABL534" s="69"/>
      <c r="ABM534" s="69"/>
      <c r="ABN534" s="69"/>
      <c r="ABO534" s="69"/>
      <c r="ABP534" s="69"/>
      <c r="ABQ534" s="69"/>
      <c r="ABR534" s="69"/>
      <c r="ABS534" s="69"/>
      <c r="ABT534" s="69"/>
      <c r="ABU534" s="69"/>
      <c r="ABV534" s="69"/>
      <c r="ABW534" s="69"/>
      <c r="ABX534" s="69"/>
      <c r="ABY534" s="69"/>
      <c r="ABZ534" s="69"/>
      <c r="ACA534" s="69"/>
      <c r="ACB534" s="69"/>
      <c r="ACC534" s="69"/>
      <c r="ACD534" s="69"/>
      <c r="ACE534" s="69"/>
      <c r="ACF534" s="69"/>
      <c r="ACG534" s="69"/>
      <c r="ACH534" s="69"/>
      <c r="ACI534" s="69"/>
      <c r="ACJ534" s="69"/>
      <c r="ACK534" s="69"/>
      <c r="ACL534" s="69"/>
      <c r="ACM534" s="69"/>
      <c r="ACN534" s="69"/>
      <c r="ACO534" s="69"/>
      <c r="ACP534" s="69"/>
      <c r="ACQ534" s="69"/>
      <c r="ACR534" s="69"/>
      <c r="ACS534" s="69"/>
      <c r="ACT534" s="69"/>
      <c r="ACU534" s="69"/>
      <c r="ACV534" s="69"/>
      <c r="ACW534" s="69"/>
      <c r="ACX534" s="69"/>
      <c r="ACY534" s="69"/>
      <c r="ACZ534" s="69"/>
      <c r="ADA534" s="69"/>
      <c r="ADB534" s="69"/>
      <c r="ADC534" s="69"/>
      <c r="ADD534" s="69"/>
      <c r="ADE534" s="69"/>
      <c r="ADF534" s="69"/>
      <c r="ADG534" s="69"/>
      <c r="ADH534" s="69"/>
      <c r="ADI534" s="69"/>
      <c r="ADJ534" s="69"/>
      <c r="ADK534" s="69"/>
      <c r="ADL534" s="69"/>
      <c r="ADM534" s="69"/>
      <c r="ADN534" s="69"/>
      <c r="ADO534" s="69"/>
      <c r="ADP534" s="69"/>
      <c r="ADQ534" s="69"/>
      <c r="ADR534" s="69"/>
      <c r="ADS534" s="69"/>
      <c r="ADT534" s="69"/>
      <c r="ADU534" s="69"/>
      <c r="ADV534" s="69"/>
      <c r="ADW534" s="69"/>
      <c r="ADX534" s="69"/>
      <c r="ADY534" s="69"/>
      <c r="ADZ534" s="69"/>
      <c r="AEA534" s="69"/>
      <c r="AEB534" s="69"/>
      <c r="AEC534" s="69"/>
      <c r="AED534" s="69"/>
      <c r="AEE534" s="69"/>
      <c r="AEF534" s="69"/>
      <c r="AEG534" s="69"/>
      <c r="AEH534" s="69"/>
      <c r="AEI534" s="69"/>
      <c r="AEJ534" s="69"/>
      <c r="AEK534" s="69"/>
      <c r="AEL534" s="69"/>
      <c r="AEM534" s="69"/>
      <c r="AEN534" s="69"/>
      <c r="AEO534" s="69"/>
      <c r="AEP534" s="69"/>
      <c r="AEQ534" s="69"/>
      <c r="AER534" s="69"/>
      <c r="AES534" s="69"/>
      <c r="AET534" s="69"/>
      <c r="AEU534" s="69"/>
      <c r="AEV534" s="69"/>
      <c r="AEW534" s="69"/>
      <c r="AEX534" s="69"/>
      <c r="AEY534" s="69"/>
      <c r="AEZ534" s="69"/>
      <c r="AFA534" s="69"/>
      <c r="AFB534" s="69"/>
      <c r="AFC534" s="69"/>
      <c r="AFD534" s="69"/>
      <c r="AFE534" s="69"/>
      <c r="AFF534" s="69"/>
      <c r="AFG534" s="69"/>
      <c r="AFH534" s="69"/>
      <c r="AFI534" s="69"/>
      <c r="AFJ534" s="69"/>
      <c r="AFK534" s="69"/>
      <c r="AFL534" s="69"/>
      <c r="AFM534" s="69"/>
      <c r="AFN534" s="69"/>
      <c r="AFO534" s="69"/>
      <c r="AFP534" s="69"/>
      <c r="AFQ534" s="69"/>
      <c r="AFR534" s="69"/>
      <c r="AFS534" s="69"/>
      <c r="AFT534" s="69"/>
      <c r="AFU534" s="69"/>
      <c r="AFV534" s="69"/>
      <c r="AFW534" s="69"/>
      <c r="AFX534" s="69"/>
      <c r="AFY534" s="69"/>
      <c r="AFZ534" s="69"/>
      <c r="AGA534" s="69"/>
      <c r="AGB534" s="69"/>
      <c r="AGC534" s="69"/>
      <c r="AGD534" s="69"/>
      <c r="AGE534" s="69"/>
      <c r="AGF534" s="69"/>
      <c r="AGG534" s="69"/>
      <c r="AGH534" s="69"/>
      <c r="AGI534" s="69"/>
      <c r="AGJ534" s="69"/>
      <c r="AGK534" s="69"/>
      <c r="AGL534" s="69"/>
      <c r="AGM534" s="69"/>
      <c r="AGN534" s="69"/>
      <c r="AGO534" s="69"/>
      <c r="AGP534" s="69"/>
      <c r="AGQ534" s="69"/>
      <c r="AGR534" s="69"/>
      <c r="AGS534" s="69"/>
      <c r="AGT534" s="69"/>
      <c r="AGU534" s="69"/>
      <c r="AGV534" s="69"/>
      <c r="AGW534" s="69"/>
      <c r="AGX534" s="69"/>
      <c r="AGY534" s="69"/>
      <c r="AGZ534" s="69"/>
      <c r="AHA534" s="69"/>
      <c r="AHB534" s="69"/>
      <c r="AHC534" s="69"/>
      <c r="AHD534" s="69"/>
      <c r="AHE534" s="69"/>
      <c r="AHF534" s="69"/>
      <c r="AHG534" s="69"/>
      <c r="AHH534" s="69"/>
      <c r="AHI534" s="69"/>
      <c r="AHJ534" s="69"/>
      <c r="AHK534" s="69"/>
      <c r="AHL534" s="69"/>
      <c r="AHM534" s="69"/>
      <c r="AHN534" s="69"/>
      <c r="AHO534" s="69"/>
      <c r="AHP534" s="69"/>
      <c r="AHQ534" s="69"/>
      <c r="AHR534" s="69"/>
      <c r="AHS534" s="69"/>
      <c r="AHT534" s="69"/>
      <c r="AHU534" s="69"/>
      <c r="AHV534" s="69"/>
      <c r="AHW534" s="69"/>
      <c r="AHX534" s="69"/>
      <c r="AHY534" s="69"/>
      <c r="AHZ534" s="69"/>
      <c r="AIA534" s="69"/>
      <c r="AIB534" s="69"/>
      <c r="AIC534" s="69"/>
      <c r="AID534" s="69"/>
      <c r="AIE534" s="69"/>
      <c r="AIF534" s="69"/>
      <c r="AIG534" s="69"/>
      <c r="AIH534" s="69"/>
      <c r="AII534" s="69"/>
      <c r="AIJ534" s="69"/>
      <c r="AIK534" s="69"/>
      <c r="AIL534" s="69"/>
      <c r="AIM534" s="69"/>
      <c r="AIN534" s="69"/>
      <c r="AIO534" s="69"/>
      <c r="AIP534" s="69"/>
      <c r="AIQ534" s="69"/>
      <c r="AIR534" s="69"/>
      <c r="AIS534" s="69"/>
      <c r="AIT534" s="69"/>
      <c r="AIU534" s="69"/>
      <c r="AIV534" s="69"/>
      <c r="AIW534" s="69"/>
      <c r="AIX534" s="69"/>
      <c r="AIY534" s="69"/>
      <c r="AIZ534" s="69"/>
      <c r="AJA534" s="69"/>
      <c r="AJB534" s="69"/>
      <c r="AJC534" s="69"/>
      <c r="AJD534" s="69"/>
      <c r="AJE534" s="69"/>
      <c r="AJF534" s="69"/>
      <c r="AJG534" s="69"/>
      <c r="AJH534" s="69"/>
      <c r="AJI534" s="69"/>
      <c r="AJJ534" s="69"/>
      <c r="AJK534" s="69"/>
      <c r="AJL534" s="69"/>
      <c r="AJM534" s="69"/>
      <c r="AJN534" s="69"/>
      <c r="AJO534" s="69"/>
      <c r="AJP534" s="69"/>
      <c r="AJQ534" s="69"/>
      <c r="AJR534" s="69"/>
      <c r="AJS534" s="69"/>
      <c r="AJT534" s="69"/>
      <c r="AJU534" s="69"/>
      <c r="AJV534" s="69"/>
      <c r="AJW534" s="69"/>
      <c r="AJX534" s="69"/>
      <c r="AJY534" s="69"/>
      <c r="AJZ534" s="69"/>
      <c r="AKA534" s="69"/>
      <c r="AKB534" s="69"/>
      <c r="AKC534" s="69"/>
      <c r="AKD534" s="69"/>
      <c r="AKE534" s="69"/>
      <c r="AKF534" s="69"/>
      <c r="AKG534" s="69"/>
      <c r="AKH534" s="69"/>
      <c r="AKI534" s="69"/>
      <c r="AKJ534" s="69"/>
      <c r="AKK534" s="69"/>
      <c r="AKL534" s="69"/>
      <c r="AKM534" s="69"/>
      <c r="AKN534" s="69"/>
      <c r="AKO534" s="69"/>
      <c r="AKP534" s="69"/>
      <c r="AKQ534" s="69"/>
      <c r="AKR534" s="69"/>
      <c r="AKS534" s="69"/>
      <c r="AKT534" s="69"/>
      <c r="AKU534" s="69"/>
      <c r="AKV534" s="69"/>
      <c r="AKW534" s="69"/>
      <c r="AKX534" s="69"/>
      <c r="AKY534" s="69"/>
      <c r="AKZ534" s="69"/>
      <c r="ALA534" s="69"/>
      <c r="ALB534" s="69"/>
      <c r="ALC534" s="69"/>
      <c r="ALD534" s="69"/>
      <c r="ALE534" s="69"/>
      <c r="ALF534" s="69"/>
      <c r="ALG534" s="69"/>
      <c r="ALH534" s="69"/>
      <c r="ALI534" s="69"/>
      <c r="ALJ534" s="69"/>
      <c r="ALK534" s="69"/>
      <c r="ALL534" s="69"/>
      <c r="ALM534" s="69"/>
      <c r="ALN534" s="69"/>
      <c r="ALO534" s="69"/>
      <c r="ALP534" s="69"/>
      <c r="ALQ534" s="69"/>
      <c r="ALR534" s="69"/>
      <c r="ALS534" s="69"/>
      <c r="ALT534" s="69"/>
      <c r="ALU534" s="69"/>
      <c r="ALV534" s="69"/>
      <c r="ALW534" s="69"/>
      <c r="ALX534" s="69"/>
      <c r="ALY534" s="69"/>
      <c r="ALZ534" s="69"/>
      <c r="AMA534" s="69"/>
      <c r="AMB534" s="69"/>
      <c r="AMC534" s="69"/>
      <c r="AMD534" s="69"/>
      <c r="AME534" s="69"/>
      <c r="AMF534" s="69"/>
      <c r="AMG534" s="69"/>
      <c r="AMH534" s="69"/>
      <c r="AMI534" s="69"/>
      <c r="AMJ534" s="69"/>
      <c r="AMK534" s="69"/>
      <c r="AML534" s="69"/>
      <c r="AMM534" s="69"/>
      <c r="AMN534" s="69"/>
      <c r="AMO534" s="69"/>
      <c r="AMP534" s="69"/>
      <c r="AMQ534" s="69"/>
      <c r="AMR534" s="69"/>
      <c r="AMS534" s="69"/>
      <c r="AMT534" s="69"/>
      <c r="AMU534" s="69"/>
      <c r="AMV534" s="69"/>
      <c r="AMW534" s="69"/>
      <c r="AMX534" s="69"/>
      <c r="AMY534" s="69"/>
      <c r="AMZ534" s="69"/>
      <c r="ANA534" s="69"/>
      <c r="ANB534" s="69"/>
      <c r="ANC534" s="69"/>
      <c r="AND534" s="69"/>
      <c r="ANE534" s="69"/>
      <c r="ANF534" s="69"/>
      <c r="ANG534" s="69"/>
      <c r="ANH534" s="69"/>
      <c r="ANI534" s="69"/>
      <c r="ANJ534" s="69"/>
      <c r="ANK534" s="69"/>
      <c r="ANL534" s="69"/>
      <c r="ANM534" s="69"/>
      <c r="ANN534" s="69"/>
      <c r="ANO534" s="69"/>
      <c r="ANP534" s="69"/>
      <c r="ANQ534" s="69"/>
      <c r="ANR534" s="69"/>
      <c r="ANS534" s="69"/>
      <c r="ANT534" s="69"/>
      <c r="ANU534" s="69"/>
      <c r="ANV534" s="69"/>
      <c r="ANW534" s="69"/>
      <c r="ANX534" s="69"/>
      <c r="ANY534" s="69"/>
      <c r="ANZ534" s="69"/>
      <c r="AOA534" s="69"/>
      <c r="AOB534" s="69"/>
      <c r="AOC534" s="69"/>
      <c r="AOD534" s="69"/>
      <c r="AOE534" s="69"/>
      <c r="AOF534" s="69"/>
      <c r="AOG534" s="69"/>
      <c r="AOH534" s="69"/>
      <c r="AOI534" s="69"/>
      <c r="AOJ534" s="69"/>
      <c r="AOK534" s="69"/>
      <c r="AOL534" s="69"/>
      <c r="AOM534" s="69"/>
      <c r="AON534" s="69"/>
      <c r="AOO534" s="69"/>
      <c r="AOP534" s="69"/>
      <c r="AOQ534" s="69"/>
      <c r="AOR534" s="69"/>
      <c r="AOS534" s="69"/>
      <c r="AOT534" s="69"/>
      <c r="AOU534" s="69"/>
      <c r="AOV534" s="69"/>
      <c r="AOW534" s="69"/>
      <c r="AOX534" s="69"/>
      <c r="AOY534" s="69"/>
      <c r="AOZ534" s="69"/>
      <c r="APA534" s="69"/>
      <c r="APB534" s="69"/>
      <c r="APC534" s="69"/>
      <c r="APD534" s="69"/>
      <c r="APE534" s="69"/>
      <c r="APF534" s="69"/>
      <c r="APG534" s="69"/>
      <c r="APH534" s="69"/>
      <c r="API534" s="69"/>
      <c r="APJ534" s="69"/>
      <c r="APK534" s="69"/>
      <c r="APL534" s="69"/>
      <c r="APM534" s="69"/>
      <c r="APN534" s="69"/>
      <c r="APO534" s="69"/>
      <c r="APP534" s="69"/>
      <c r="APQ534" s="69"/>
      <c r="APR534" s="69"/>
      <c r="APS534" s="69"/>
      <c r="APT534" s="69"/>
      <c r="APU534" s="69"/>
      <c r="APV534" s="69"/>
      <c r="APW534" s="69"/>
      <c r="APX534" s="69"/>
      <c r="APY534" s="69"/>
      <c r="APZ534" s="69"/>
      <c r="AQA534" s="69"/>
      <c r="AQB534" s="69"/>
      <c r="AQC534" s="69"/>
      <c r="AQD534" s="69"/>
      <c r="AQE534" s="69"/>
      <c r="AQF534" s="69"/>
      <c r="AQG534" s="69"/>
      <c r="AQH534" s="69"/>
      <c r="AQI534" s="69"/>
      <c r="AQJ534" s="69"/>
      <c r="AQK534" s="69"/>
      <c r="AQL534" s="69"/>
      <c r="AQM534" s="69"/>
      <c r="AQN534" s="69"/>
      <c r="AQO534" s="69"/>
      <c r="AQP534" s="69"/>
      <c r="AQQ534" s="69"/>
      <c r="AQR534" s="69"/>
      <c r="AQS534" s="69"/>
      <c r="AQT534" s="69"/>
      <c r="AQU534" s="69"/>
      <c r="AQV534" s="69"/>
      <c r="AQW534" s="69"/>
      <c r="AQX534" s="69"/>
      <c r="AQY534" s="69"/>
      <c r="AQZ534" s="69"/>
      <c r="ARA534" s="69"/>
      <c r="ARB534" s="69"/>
      <c r="ARC534" s="69"/>
      <c r="ARD534" s="69"/>
      <c r="ARE534" s="69"/>
      <c r="ARF534" s="69"/>
      <c r="ARG534" s="69"/>
      <c r="ARH534" s="69"/>
      <c r="ARI534" s="69"/>
      <c r="ARJ534" s="69"/>
      <c r="ARK534" s="69"/>
      <c r="ARL534" s="69"/>
      <c r="ARM534" s="69"/>
      <c r="ARN534" s="69"/>
      <c r="ARO534" s="69"/>
      <c r="ARP534" s="69"/>
      <c r="ARQ534" s="69"/>
      <c r="ARR534" s="69"/>
      <c r="ARS534" s="69"/>
      <c r="ART534" s="69"/>
      <c r="ARU534" s="69"/>
      <c r="ARV534" s="69"/>
      <c r="ARW534" s="69"/>
      <c r="ARX534" s="69"/>
      <c r="ARY534" s="69"/>
      <c r="ARZ534" s="69"/>
      <c r="ASA534" s="69"/>
      <c r="ASB534" s="69"/>
      <c r="ASC534" s="69"/>
      <c r="ASD534" s="69"/>
      <c r="ASE534" s="69"/>
      <c r="ASF534" s="69"/>
      <c r="ASG534" s="69"/>
      <c r="ASH534" s="69"/>
      <c r="ASI534" s="69"/>
      <c r="ASJ534" s="69"/>
      <c r="ASK534" s="69"/>
      <c r="ASL534" s="69"/>
      <c r="ASM534" s="69"/>
      <c r="ASN534" s="69"/>
      <c r="ASO534" s="69"/>
      <c r="ASP534" s="69"/>
      <c r="ASQ534" s="69"/>
      <c r="ASR534" s="69"/>
      <c r="ASS534" s="69"/>
      <c r="AST534" s="69"/>
      <c r="ASU534" s="69"/>
      <c r="ASV534" s="69"/>
      <c r="ASW534" s="69"/>
      <c r="ASX534" s="69"/>
      <c r="ASY534" s="69"/>
      <c r="ASZ534" s="69"/>
      <c r="ATA534" s="69"/>
      <c r="ATB534" s="69"/>
      <c r="ATC534" s="69"/>
      <c r="ATD534" s="69"/>
      <c r="ATE534" s="69"/>
      <c r="ATF534" s="69"/>
      <c r="ATG534" s="69"/>
      <c r="ATH534" s="69"/>
      <c r="ATI534" s="69"/>
      <c r="ATJ534" s="69"/>
      <c r="ATK534" s="69"/>
      <c r="ATL534" s="69"/>
      <c r="ATM534" s="69"/>
      <c r="ATN534" s="69"/>
      <c r="ATO534" s="69"/>
      <c r="ATP534" s="69"/>
      <c r="ATQ534" s="69"/>
      <c r="ATR534" s="69"/>
      <c r="ATS534" s="69"/>
      <c r="ATT534" s="69"/>
      <c r="ATU534" s="69"/>
      <c r="ATV534" s="69"/>
      <c r="ATW534" s="69"/>
      <c r="ATX534" s="69"/>
      <c r="ATY534" s="69"/>
      <c r="ATZ534" s="69"/>
      <c r="AUA534" s="69"/>
      <c r="AUB534" s="69"/>
      <c r="AUC534" s="69"/>
      <c r="AUD534" s="69"/>
      <c r="AUE534" s="69"/>
      <c r="AUF534" s="69"/>
      <c r="AUG534" s="69"/>
      <c r="AUH534" s="69"/>
      <c r="AUI534" s="69"/>
      <c r="AUJ534" s="69"/>
      <c r="AUK534" s="69"/>
      <c r="AUL534" s="69"/>
      <c r="AUM534" s="69"/>
      <c r="AUN534" s="69"/>
      <c r="AUO534" s="69"/>
      <c r="AUP534" s="69"/>
      <c r="AUQ534" s="69"/>
      <c r="AUR534" s="69"/>
      <c r="AUS534" s="69"/>
      <c r="AUT534" s="69"/>
      <c r="AUU534" s="69"/>
      <c r="AUV534" s="69"/>
      <c r="AUW534" s="69"/>
      <c r="AUX534" s="69"/>
      <c r="AUY534" s="69"/>
      <c r="AUZ534" s="69"/>
      <c r="AVA534" s="69"/>
      <c r="AVB534" s="69"/>
      <c r="AVC534" s="69"/>
      <c r="AVD534" s="69"/>
      <c r="AVE534" s="69"/>
      <c r="AVF534" s="69"/>
      <c r="AVG534" s="69"/>
      <c r="AVH534" s="69"/>
      <c r="AVI534" s="69"/>
      <c r="AVJ534" s="69"/>
      <c r="AVK534" s="69"/>
      <c r="AVL534" s="69"/>
      <c r="AVM534" s="69"/>
      <c r="AVN534" s="69"/>
      <c r="AVO534" s="69"/>
      <c r="AVP534" s="69"/>
      <c r="AVQ534" s="69"/>
      <c r="AVR534" s="69"/>
      <c r="AVS534" s="69"/>
      <c r="AVT534" s="69"/>
      <c r="AVU534" s="69"/>
      <c r="AVV534" s="69"/>
      <c r="AVW534" s="69"/>
      <c r="AVX534" s="69"/>
      <c r="AVY534" s="69"/>
      <c r="AVZ534" s="69"/>
      <c r="AWA534" s="69"/>
      <c r="AWB534" s="69"/>
      <c r="AWC534" s="69"/>
      <c r="AWD534" s="69"/>
      <c r="AWE534" s="69"/>
      <c r="AWF534" s="69"/>
      <c r="AWG534" s="69"/>
      <c r="AWH534" s="69"/>
      <c r="AWI534" s="69"/>
      <c r="AWJ534" s="69"/>
      <c r="AWK534" s="69"/>
      <c r="AWL534" s="69"/>
      <c r="AWM534" s="69"/>
      <c r="AWN534" s="69"/>
      <c r="AWO534" s="69"/>
      <c r="AWP534" s="69"/>
      <c r="AWQ534" s="69"/>
      <c r="AWR534" s="69"/>
      <c r="AWS534" s="69"/>
      <c r="AWT534" s="69"/>
      <c r="AWU534" s="69"/>
      <c r="AWV534" s="69"/>
      <c r="AWW534" s="69"/>
      <c r="AWX534" s="69"/>
      <c r="AWY534" s="69"/>
      <c r="AWZ534" s="69"/>
      <c r="AXA534" s="69"/>
      <c r="AXB534" s="69"/>
      <c r="AXC534" s="69"/>
      <c r="AXD534" s="69"/>
      <c r="AXE534" s="69"/>
      <c r="AXF534" s="69"/>
      <c r="AXG534" s="69"/>
      <c r="AXH534" s="69"/>
      <c r="AXI534" s="69"/>
      <c r="AXJ534" s="69"/>
      <c r="AXK534" s="69"/>
      <c r="AXL534" s="69"/>
      <c r="AXM534" s="69"/>
      <c r="AXN534" s="69"/>
      <c r="AXO534" s="69"/>
      <c r="AXP534" s="69"/>
      <c r="AXQ534" s="69"/>
      <c r="AXR534" s="69"/>
      <c r="AXS534" s="69"/>
      <c r="AXT534" s="69"/>
      <c r="AXU534" s="69"/>
      <c r="AXV534" s="69"/>
      <c r="AXW534" s="69"/>
      <c r="AXX534" s="69"/>
      <c r="AXY534" s="69"/>
      <c r="AXZ534" s="69"/>
      <c r="AYA534" s="69"/>
      <c r="AYB534" s="69"/>
      <c r="AYC534" s="69"/>
      <c r="AYD534" s="69"/>
      <c r="AYE534" s="69"/>
      <c r="AYF534" s="69"/>
      <c r="AYG534" s="69"/>
      <c r="AYH534" s="69"/>
      <c r="AYI534" s="69"/>
      <c r="AYJ534" s="69"/>
      <c r="AYK534" s="69"/>
      <c r="AYL534" s="69"/>
      <c r="AYM534" s="69"/>
      <c r="AYN534" s="69"/>
      <c r="AYO534" s="69"/>
      <c r="AYP534" s="69"/>
      <c r="AYQ534" s="69"/>
      <c r="AYR534" s="69"/>
      <c r="AYS534" s="69"/>
      <c r="AYT534" s="69"/>
      <c r="AYU534" s="69"/>
      <c r="AYV534" s="69"/>
      <c r="AYW534" s="69"/>
      <c r="AYX534" s="69"/>
      <c r="AYY534" s="69"/>
      <c r="AYZ534" s="69"/>
      <c r="AZA534" s="69"/>
      <c r="AZB534" s="69"/>
      <c r="AZC534" s="69"/>
      <c r="AZD534" s="69"/>
      <c r="AZE534" s="69"/>
      <c r="AZF534" s="69"/>
      <c r="AZG534" s="69"/>
      <c r="AZH534" s="69"/>
      <c r="AZI534" s="69"/>
      <c r="AZJ534" s="69"/>
      <c r="AZK534" s="69"/>
      <c r="AZL534" s="69"/>
      <c r="AZM534" s="69"/>
      <c r="AZN534" s="69"/>
      <c r="AZO534" s="69"/>
      <c r="AZP534" s="69"/>
      <c r="AZQ534" s="69"/>
      <c r="AZR534" s="69"/>
      <c r="AZS534" s="69"/>
      <c r="AZT534" s="69"/>
      <c r="AZU534" s="69"/>
      <c r="AZV534" s="69"/>
      <c r="AZW534" s="69"/>
      <c r="AZX534" s="69"/>
      <c r="AZY534" s="69"/>
      <c r="AZZ534" s="69"/>
      <c r="BAA534" s="69"/>
      <c r="BAB534" s="69"/>
      <c r="BAC534" s="69"/>
      <c r="BAD534" s="69"/>
      <c r="BAE534" s="69"/>
      <c r="BAF534" s="69"/>
      <c r="BAG534" s="69"/>
      <c r="BAH534" s="69"/>
      <c r="BAI534" s="69"/>
      <c r="BAJ534" s="69"/>
      <c r="BAK534" s="69"/>
      <c r="BAL534" s="69"/>
      <c r="BAM534" s="69"/>
      <c r="BAN534" s="69"/>
      <c r="BAO534" s="69"/>
      <c r="BAP534" s="69"/>
      <c r="BAQ534" s="69"/>
      <c r="BAR534" s="69"/>
      <c r="BAS534" s="69"/>
      <c r="BAT534" s="69"/>
      <c r="BAU534" s="69"/>
      <c r="BAV534" s="69"/>
      <c r="BAW534" s="69"/>
      <c r="BAX534" s="69"/>
      <c r="BAY534" s="69"/>
      <c r="BAZ534" s="69"/>
      <c r="BBA534" s="69"/>
      <c r="BBB534" s="69"/>
      <c r="BBC534" s="69"/>
      <c r="BBD534" s="69"/>
      <c r="BBE534" s="69"/>
      <c r="BBF534" s="69"/>
      <c r="BBG534" s="69"/>
      <c r="BBH534" s="69"/>
      <c r="BBI534" s="69"/>
      <c r="BBJ534" s="69"/>
      <c r="BBK534" s="69"/>
      <c r="BBL534" s="69"/>
      <c r="BBM534" s="69"/>
      <c r="BBN534" s="69"/>
      <c r="BBO534" s="69"/>
      <c r="BBP534" s="69"/>
      <c r="BBQ534" s="69"/>
      <c r="BBR534" s="69"/>
      <c r="BBS534" s="69"/>
      <c r="BBT534" s="69"/>
      <c r="BBU534" s="69"/>
      <c r="BBV534" s="69"/>
      <c r="BBW534" s="69"/>
      <c r="BBX534" s="69"/>
      <c r="BBY534" s="69"/>
      <c r="BBZ534" s="69"/>
      <c r="BCA534" s="69"/>
      <c r="BCB534" s="69"/>
      <c r="BCC534" s="69"/>
      <c r="BCD534" s="69"/>
      <c r="BCE534" s="69"/>
      <c r="BCF534" s="69"/>
      <c r="BCG534" s="69"/>
      <c r="BCH534" s="69"/>
      <c r="BCI534" s="69"/>
      <c r="BCJ534" s="69"/>
      <c r="BCK534" s="69"/>
      <c r="BCL534" s="69"/>
      <c r="BCM534" s="69"/>
      <c r="BCN534" s="69"/>
      <c r="BCO534" s="69"/>
      <c r="BCP534" s="69"/>
      <c r="BCQ534" s="69"/>
      <c r="BCR534" s="69"/>
      <c r="BCS534" s="69"/>
      <c r="BCT534" s="69"/>
      <c r="BCU534" s="69"/>
      <c r="BCV534" s="69"/>
      <c r="BCW534" s="69"/>
      <c r="BCX534" s="69"/>
      <c r="BCY534" s="69"/>
      <c r="BCZ534" s="69"/>
      <c r="BDA534" s="69"/>
      <c r="BDB534" s="69"/>
      <c r="BDC534" s="69"/>
      <c r="BDD534" s="69"/>
      <c r="BDE534" s="69"/>
      <c r="BDF534" s="69"/>
      <c r="BDG534" s="69"/>
      <c r="BDH534" s="69"/>
      <c r="BDI534" s="69"/>
      <c r="BDJ534" s="69"/>
      <c r="BDK534" s="69"/>
      <c r="BDL534" s="69"/>
      <c r="BDM534" s="69"/>
      <c r="BDN534" s="69"/>
      <c r="BDO534" s="69"/>
      <c r="BDP534" s="69"/>
      <c r="BDQ534" s="69"/>
      <c r="BDR534" s="69"/>
      <c r="BDS534" s="69"/>
      <c r="BDT534" s="69"/>
      <c r="BDU534" s="69"/>
      <c r="BDV534" s="69"/>
      <c r="BDW534" s="69"/>
      <c r="BDX534" s="69"/>
      <c r="BDY534" s="69"/>
      <c r="BDZ534" s="69"/>
      <c r="BEA534" s="69"/>
      <c r="BEB534" s="69"/>
      <c r="BEC534" s="69"/>
      <c r="BED534" s="69"/>
      <c r="BEE534" s="69"/>
      <c r="BEF534" s="69"/>
      <c r="BEG534" s="69"/>
      <c r="BEH534" s="69"/>
      <c r="BEI534" s="69"/>
      <c r="BEJ534" s="69"/>
      <c r="BEK534" s="69"/>
      <c r="BEL534" s="69"/>
      <c r="BEM534" s="69"/>
      <c r="BEN534" s="69"/>
      <c r="BEO534" s="69"/>
      <c r="BEP534" s="69"/>
      <c r="BEQ534" s="69"/>
      <c r="BER534" s="69"/>
      <c r="BES534" s="69"/>
      <c r="BET534" s="69"/>
      <c r="BEU534" s="69"/>
      <c r="BEV534" s="69"/>
      <c r="BEW534" s="69"/>
      <c r="BEX534" s="69"/>
      <c r="BEY534" s="69"/>
      <c r="BEZ534" s="69"/>
      <c r="BFA534" s="69"/>
      <c r="BFB534" s="69"/>
      <c r="BFC534" s="69"/>
      <c r="BFD534" s="69"/>
      <c r="BFE534" s="69"/>
      <c r="BFF534" s="69"/>
      <c r="BFG534" s="69"/>
      <c r="BFH534" s="69"/>
      <c r="BFI534" s="69"/>
      <c r="BFJ534" s="69"/>
      <c r="BFK534" s="69"/>
      <c r="BFL534" s="69"/>
      <c r="BFM534" s="69"/>
      <c r="BFN534" s="69"/>
      <c r="BFO534" s="69"/>
      <c r="BFP534" s="69"/>
      <c r="BFQ534" s="69"/>
      <c r="BFR534" s="69"/>
      <c r="BFS534" s="69"/>
      <c r="BFT534" s="69"/>
      <c r="BFU534" s="69"/>
      <c r="BFV534" s="69"/>
      <c r="BFW534" s="69"/>
      <c r="BFX534" s="69"/>
      <c r="BFY534" s="69"/>
      <c r="BFZ534" s="69"/>
      <c r="BGA534" s="69"/>
      <c r="BGB534" s="69"/>
      <c r="BGC534" s="69"/>
      <c r="BGD534" s="69"/>
      <c r="BGE534" s="69"/>
      <c r="BGF534" s="69"/>
      <c r="BGG534" s="69"/>
      <c r="BGH534" s="69"/>
      <c r="BGI534" s="69"/>
      <c r="BGJ534" s="69"/>
      <c r="BGK534" s="69"/>
      <c r="BGL534" s="69"/>
      <c r="BGM534" s="69"/>
      <c r="BGN534" s="69"/>
      <c r="BGO534" s="69"/>
      <c r="BGP534" s="69"/>
      <c r="BGQ534" s="69"/>
      <c r="BGR534" s="69"/>
      <c r="BGS534" s="69"/>
      <c r="BGT534" s="69"/>
      <c r="BGU534" s="69"/>
      <c r="BGV534" s="69"/>
      <c r="BGW534" s="69"/>
      <c r="BGX534" s="69"/>
      <c r="BGY534" s="69"/>
      <c r="BGZ534" s="69"/>
      <c r="BHA534" s="69"/>
      <c r="BHB534" s="69"/>
      <c r="BHC534" s="69"/>
      <c r="BHD534" s="69"/>
      <c r="BHE534" s="69"/>
      <c r="BHF534" s="69"/>
      <c r="BHG534" s="69"/>
      <c r="BHH534" s="69"/>
      <c r="BHI534" s="69"/>
      <c r="BHJ534" s="69"/>
      <c r="BHK534" s="69"/>
      <c r="BHL534" s="69"/>
      <c r="BHM534" s="69"/>
      <c r="BHN534" s="69"/>
      <c r="BHO534" s="69"/>
      <c r="BHP534" s="69"/>
      <c r="BHQ534" s="69"/>
      <c r="BHR534" s="69"/>
      <c r="BHS534" s="69"/>
      <c r="BHT534" s="69"/>
      <c r="BHU534" s="69"/>
      <c r="BHV534" s="69"/>
      <c r="BHW534" s="69"/>
      <c r="BHX534" s="69"/>
      <c r="BHY534" s="69"/>
      <c r="BHZ534" s="69"/>
      <c r="BIA534" s="69"/>
      <c r="BIB534" s="69"/>
      <c r="BIC534" s="69"/>
      <c r="BID534" s="69"/>
      <c r="BIE534" s="69"/>
      <c r="BIF534" s="69"/>
      <c r="BIG534" s="69"/>
      <c r="BIH534" s="69"/>
      <c r="BII534" s="69"/>
      <c r="BIJ534" s="69"/>
      <c r="BIK534" s="69"/>
      <c r="BIL534" s="69"/>
      <c r="BIM534" s="69"/>
      <c r="BIN534" s="69"/>
      <c r="BIO534" s="69"/>
      <c r="BIP534" s="69"/>
      <c r="BIQ534" s="69"/>
      <c r="BIR534" s="69"/>
      <c r="BIS534" s="69"/>
      <c r="BIT534" s="69"/>
      <c r="BIU534" s="69"/>
      <c r="BIV534" s="69"/>
      <c r="BIW534" s="69"/>
      <c r="BIX534" s="69"/>
      <c r="BIY534" s="69"/>
      <c r="BIZ534" s="69"/>
      <c r="BJA534" s="69"/>
      <c r="BJB534" s="69"/>
      <c r="BJC534" s="69"/>
      <c r="BJD534" s="69"/>
      <c r="BJE534" s="69"/>
      <c r="BJF534" s="69"/>
      <c r="BJG534" s="69"/>
      <c r="BJH534" s="69"/>
      <c r="BJI534" s="69"/>
      <c r="BJJ534" s="69"/>
      <c r="BJK534" s="69"/>
      <c r="BJL534" s="69"/>
      <c r="BJM534" s="69"/>
      <c r="BJN534" s="69"/>
      <c r="BJO534" s="69"/>
      <c r="BJP534" s="69"/>
      <c r="BJQ534" s="69"/>
      <c r="BJR534" s="69"/>
      <c r="BJS534" s="69"/>
      <c r="BJT534" s="69"/>
      <c r="BJU534" s="69"/>
      <c r="BJV534" s="69"/>
      <c r="BJW534" s="69"/>
      <c r="BJX534" s="69"/>
      <c r="BJY534" s="69"/>
      <c r="BJZ534" s="69"/>
      <c r="BKA534" s="69"/>
      <c r="BKB534" s="69"/>
      <c r="BKC534" s="69"/>
      <c r="BKD534" s="69"/>
      <c r="BKE534" s="69"/>
      <c r="BKF534" s="69"/>
      <c r="BKG534" s="69"/>
      <c r="BKH534" s="69"/>
      <c r="BKI534" s="69"/>
      <c r="BKJ534" s="69"/>
      <c r="BKK534" s="69"/>
      <c r="BKL534" s="69"/>
      <c r="BKM534" s="69"/>
      <c r="BKN534" s="69"/>
      <c r="BKO534" s="69"/>
      <c r="BKP534" s="69"/>
      <c r="BKQ534" s="69"/>
      <c r="BKR534" s="69"/>
      <c r="BKS534" s="69"/>
      <c r="BKT534" s="69"/>
      <c r="BKU534" s="69"/>
      <c r="BKV534" s="69"/>
      <c r="BKW534" s="69"/>
      <c r="BKX534" s="69"/>
      <c r="BKY534" s="69"/>
      <c r="BKZ534" s="69"/>
      <c r="BLA534" s="69"/>
      <c r="BLB534" s="69"/>
      <c r="BLC534" s="69"/>
      <c r="BLD534" s="69"/>
      <c r="BLE534" s="69"/>
      <c r="BLF534" s="69"/>
      <c r="BLG534" s="69"/>
      <c r="BLH534" s="69"/>
      <c r="BLI534" s="69"/>
      <c r="BLJ534" s="69"/>
      <c r="BLK534" s="69"/>
      <c r="BLL534" s="69"/>
      <c r="BLM534" s="69"/>
      <c r="BLN534" s="69"/>
      <c r="BLO534" s="69"/>
      <c r="BLP534" s="69"/>
      <c r="BLQ534" s="69"/>
      <c r="BLR534" s="69"/>
      <c r="BLS534" s="69"/>
      <c r="BLT534" s="69"/>
      <c r="BLU534" s="69"/>
      <c r="BLV534" s="69"/>
      <c r="BLW534" s="69"/>
      <c r="BLX534" s="69"/>
      <c r="BLY534" s="69"/>
      <c r="BLZ534" s="69"/>
      <c r="BMA534" s="69"/>
      <c r="BMB534" s="69"/>
      <c r="BMC534" s="69"/>
      <c r="BMD534" s="69"/>
      <c r="BME534" s="69"/>
      <c r="BMF534" s="69"/>
      <c r="BMG534" s="69"/>
      <c r="BMH534" s="69"/>
      <c r="BMI534" s="69"/>
      <c r="BMJ534" s="69"/>
      <c r="BMK534" s="69"/>
      <c r="BML534" s="69"/>
      <c r="BMM534" s="69"/>
      <c r="BMN534" s="69"/>
      <c r="BMO534" s="69"/>
      <c r="BMP534" s="69"/>
      <c r="BMQ534" s="69"/>
      <c r="BMR534" s="69"/>
      <c r="BMS534" s="69"/>
      <c r="BMT534" s="69"/>
      <c r="BMU534" s="69"/>
      <c r="BMV534" s="69"/>
      <c r="BMW534" s="69"/>
      <c r="BMX534" s="69"/>
      <c r="BMY534" s="69"/>
      <c r="BMZ534" s="69"/>
      <c r="BNA534" s="69"/>
      <c r="BNB534" s="69"/>
      <c r="BNC534" s="69"/>
      <c r="BND534" s="69"/>
      <c r="BNE534" s="69"/>
      <c r="BNF534" s="69"/>
      <c r="BNG534" s="69"/>
      <c r="BNH534" s="69"/>
      <c r="BNI534" s="69"/>
      <c r="BNJ534" s="69"/>
      <c r="BNK534" s="69"/>
      <c r="BNL534" s="69"/>
      <c r="BNM534" s="69"/>
      <c r="BNN534" s="69"/>
      <c r="BNO534" s="69"/>
      <c r="BNP534" s="69"/>
      <c r="BNQ534" s="69"/>
      <c r="BNR534" s="69"/>
      <c r="BNS534" s="69"/>
      <c r="BNT534" s="69"/>
      <c r="BNU534" s="69"/>
      <c r="BNV534" s="69"/>
      <c r="BNW534" s="69"/>
      <c r="BNX534" s="69"/>
      <c r="BNY534" s="69"/>
      <c r="BNZ534" s="69"/>
      <c r="BOA534" s="69"/>
      <c r="BOB534" s="69"/>
      <c r="BOC534" s="69"/>
      <c r="BOD534" s="69"/>
      <c r="BOE534" s="69"/>
      <c r="BOF534" s="69"/>
      <c r="BOG534" s="69"/>
      <c r="BOH534" s="69"/>
      <c r="BOI534" s="69"/>
      <c r="BOJ534" s="69"/>
      <c r="BOK534" s="69"/>
      <c r="BOL534" s="69"/>
      <c r="BOM534" s="69"/>
      <c r="BON534" s="69"/>
      <c r="BOO534" s="69"/>
      <c r="BOP534" s="69"/>
      <c r="BOQ534" s="69"/>
      <c r="BOR534" s="69"/>
      <c r="BOS534" s="69"/>
      <c r="BOT534" s="69"/>
      <c r="BOU534" s="69"/>
      <c r="BOV534" s="69"/>
      <c r="BOW534" s="69"/>
      <c r="BOX534" s="69"/>
      <c r="BOY534" s="69"/>
      <c r="BOZ534" s="69"/>
      <c r="BPA534" s="69"/>
      <c r="BPB534" s="69"/>
      <c r="BPC534" s="69"/>
      <c r="BPD534" s="69"/>
      <c r="BPE534" s="69"/>
      <c r="BPF534" s="69"/>
      <c r="BPG534" s="69"/>
      <c r="BPH534" s="69"/>
      <c r="BPI534" s="69"/>
      <c r="BPJ534" s="69"/>
      <c r="BPK534" s="69"/>
      <c r="BPL534" s="69"/>
      <c r="BPM534" s="69"/>
      <c r="BPN534" s="69"/>
      <c r="BPO534" s="69"/>
      <c r="BPP534" s="69"/>
      <c r="BPQ534" s="69"/>
      <c r="BPR534" s="69"/>
      <c r="BPS534" s="69"/>
      <c r="BPT534" s="69"/>
      <c r="BPU534" s="69"/>
      <c r="BPV534" s="69"/>
      <c r="BPW534" s="69"/>
      <c r="BPX534" s="69"/>
      <c r="BPY534" s="69"/>
      <c r="BPZ534" s="69"/>
      <c r="BQA534" s="69"/>
      <c r="BQB534" s="69"/>
      <c r="BQC534" s="69"/>
      <c r="BQD534" s="69"/>
      <c r="BQE534" s="69"/>
      <c r="BQF534" s="69"/>
      <c r="BQG534" s="69"/>
      <c r="BQH534" s="69"/>
      <c r="BQI534" s="69"/>
      <c r="BQJ534" s="69"/>
      <c r="BQK534" s="69"/>
      <c r="BQL534" s="69"/>
      <c r="BQM534" s="69"/>
      <c r="BQN534" s="69"/>
      <c r="BQO534" s="69"/>
      <c r="BQP534" s="69"/>
      <c r="BQQ534" s="69"/>
      <c r="BQR534" s="69"/>
      <c r="BQS534" s="69"/>
      <c r="BQT534" s="69"/>
      <c r="BQU534" s="69"/>
      <c r="BQV534" s="69"/>
      <c r="BQW534" s="69"/>
      <c r="BQX534" s="69"/>
      <c r="BQY534" s="69"/>
      <c r="BQZ534" s="69"/>
      <c r="BRA534" s="69"/>
      <c r="BRB534" s="69"/>
      <c r="BRC534" s="69"/>
      <c r="BRD534" s="69"/>
      <c r="BRE534" s="69"/>
      <c r="BRF534" s="69"/>
      <c r="BRG534" s="69"/>
      <c r="BRH534" s="69"/>
      <c r="BRI534" s="69"/>
      <c r="BRJ534" s="69"/>
      <c r="BRK534" s="69"/>
      <c r="BRL534" s="69"/>
      <c r="BRM534" s="69"/>
      <c r="BRN534" s="69"/>
      <c r="BRO534" s="69"/>
      <c r="BRP534" s="69"/>
      <c r="BRQ534" s="69"/>
      <c r="BRR534" s="69"/>
      <c r="BRS534" s="69"/>
      <c r="BRT534" s="69"/>
      <c r="BRU534" s="69"/>
      <c r="BRV534" s="69"/>
      <c r="BRW534" s="69"/>
      <c r="BRX534" s="69"/>
      <c r="BRY534" s="69"/>
      <c r="BRZ534" s="69"/>
      <c r="BSA534" s="69"/>
      <c r="BSB534" s="69"/>
      <c r="BSC534" s="69"/>
      <c r="BSD534" s="69"/>
      <c r="BSE534" s="69"/>
      <c r="BSF534" s="69"/>
      <c r="BSG534" s="69"/>
      <c r="BSH534" s="69"/>
      <c r="BSI534" s="69"/>
      <c r="BSJ534" s="69"/>
      <c r="BSK534" s="69"/>
      <c r="BSL534" s="69"/>
      <c r="BSM534" s="69"/>
      <c r="BSN534" s="69"/>
      <c r="BSO534" s="69"/>
      <c r="BSP534" s="69"/>
      <c r="BSQ534" s="69"/>
      <c r="BSR534" s="69"/>
      <c r="BSS534" s="69"/>
      <c r="BST534" s="69"/>
      <c r="BSU534" s="69"/>
      <c r="BSV534" s="69"/>
      <c r="BSW534" s="69"/>
      <c r="BSX534" s="69"/>
      <c r="BSY534" s="69"/>
      <c r="BSZ534" s="69"/>
      <c r="BTA534" s="69"/>
      <c r="BTB534" s="69"/>
      <c r="BTC534" s="69"/>
      <c r="BTD534" s="69"/>
      <c r="BTE534" s="69"/>
      <c r="BTF534" s="69"/>
      <c r="BTG534" s="69"/>
      <c r="BTH534" s="69"/>
      <c r="BTI534" s="69"/>
      <c r="BTJ534" s="69"/>
      <c r="BTK534" s="69"/>
      <c r="BTL534" s="69"/>
      <c r="BTM534" s="69"/>
      <c r="BTN534" s="69"/>
      <c r="BTO534" s="69"/>
      <c r="BTP534" s="69"/>
      <c r="BTQ534" s="69"/>
      <c r="BTR534" s="69"/>
      <c r="BTS534" s="69"/>
      <c r="BTT534" s="69"/>
      <c r="BTU534" s="69"/>
      <c r="BTV534" s="69"/>
      <c r="BTW534" s="69"/>
      <c r="BTX534" s="69"/>
      <c r="BTY534" s="69"/>
      <c r="BTZ534" s="69"/>
      <c r="BUA534" s="69"/>
      <c r="BUB534" s="69"/>
      <c r="BUC534" s="69"/>
      <c r="BUD534" s="69"/>
      <c r="BUE534" s="69"/>
      <c r="BUF534" s="69"/>
      <c r="BUG534" s="69"/>
      <c r="BUH534" s="69"/>
      <c r="BUI534" s="69"/>
      <c r="BUJ534" s="69"/>
      <c r="BUK534" s="69"/>
      <c r="BUL534" s="69"/>
      <c r="BUM534" s="69"/>
      <c r="BUN534" s="69"/>
      <c r="BUO534" s="69"/>
      <c r="BUP534" s="69"/>
      <c r="BUQ534" s="69"/>
      <c r="BUR534" s="69"/>
      <c r="BUS534" s="69"/>
      <c r="BUT534" s="69"/>
      <c r="BUU534" s="69"/>
      <c r="BUV534" s="69"/>
      <c r="BUW534" s="69"/>
      <c r="BUX534" s="69"/>
      <c r="BUY534" s="69"/>
      <c r="BUZ534" s="69"/>
      <c r="BVA534" s="69"/>
      <c r="BVB534" s="69"/>
      <c r="BVC534" s="69"/>
      <c r="BVD534" s="69"/>
      <c r="BVE534" s="69"/>
      <c r="BVF534" s="69"/>
      <c r="BVG534" s="69"/>
      <c r="BVH534" s="69"/>
      <c r="BVI534" s="69"/>
      <c r="BVJ534" s="69"/>
      <c r="BVK534" s="69"/>
      <c r="BVL534" s="69"/>
      <c r="BVM534" s="69"/>
      <c r="BVN534" s="69"/>
      <c r="BVO534" s="69"/>
      <c r="BVP534" s="69"/>
      <c r="BVQ534" s="69"/>
      <c r="BVR534" s="69"/>
      <c r="BVS534" s="69"/>
      <c r="BVT534" s="69"/>
      <c r="BVU534" s="69"/>
      <c r="BVV534" s="69"/>
      <c r="BVW534" s="69"/>
      <c r="BVX534" s="69"/>
      <c r="BVY534" s="69"/>
      <c r="BVZ534" s="69"/>
      <c r="BWA534" s="69"/>
      <c r="BWB534" s="69"/>
      <c r="BWC534" s="69"/>
      <c r="BWD534" s="69"/>
      <c r="BWE534" s="69"/>
      <c r="BWF534" s="69"/>
      <c r="BWG534" s="69"/>
      <c r="BWH534" s="69"/>
      <c r="BWI534" s="69"/>
      <c r="BWJ534" s="69"/>
      <c r="BWK534" s="69"/>
      <c r="BWL534" s="69"/>
      <c r="BWM534" s="69"/>
      <c r="BWN534" s="69"/>
      <c r="BWO534" s="69"/>
      <c r="BWP534" s="69"/>
      <c r="BWQ534" s="69"/>
      <c r="BWR534" s="69"/>
      <c r="BWS534" s="69"/>
      <c r="BWT534" s="69"/>
      <c r="BWU534" s="69"/>
      <c r="BWV534" s="69"/>
      <c r="BWW534" s="69"/>
      <c r="BWX534" s="69"/>
      <c r="BWY534" s="69"/>
      <c r="BWZ534" s="69"/>
      <c r="BXA534" s="69"/>
      <c r="BXB534" s="69"/>
      <c r="BXC534" s="69"/>
      <c r="BXD534" s="69"/>
      <c r="BXE534" s="69"/>
      <c r="BXF534" s="69"/>
      <c r="BXG534" s="69"/>
      <c r="BXH534" s="69"/>
      <c r="BXI534" s="69"/>
      <c r="BXJ534" s="69"/>
      <c r="BXK534" s="69"/>
      <c r="BXL534" s="69"/>
      <c r="BXM534" s="69"/>
      <c r="BXN534" s="69"/>
      <c r="BXO534" s="69"/>
      <c r="BXP534" s="69"/>
      <c r="BXQ534" s="69"/>
      <c r="BXR534" s="69"/>
      <c r="BXS534" s="69"/>
      <c r="BXT534" s="69"/>
      <c r="BXU534" s="69"/>
      <c r="BXV534" s="69"/>
      <c r="BXW534" s="69"/>
      <c r="BXX534" s="69"/>
      <c r="BXY534" s="69"/>
      <c r="BXZ534" s="69"/>
      <c r="BYA534" s="69"/>
      <c r="BYB534" s="69"/>
      <c r="BYC534" s="69"/>
      <c r="BYD534" s="69"/>
      <c r="BYE534" s="69"/>
      <c r="BYF534" s="69"/>
      <c r="BYG534" s="69"/>
      <c r="BYH534" s="69"/>
      <c r="BYI534" s="69"/>
      <c r="BYJ534" s="69"/>
      <c r="BYK534" s="69"/>
      <c r="BYL534" s="69"/>
      <c r="BYM534" s="69"/>
      <c r="BYN534" s="69"/>
      <c r="BYO534" s="69"/>
      <c r="BYP534" s="69"/>
      <c r="BYQ534" s="69"/>
      <c r="BYR534" s="69"/>
      <c r="BYS534" s="69"/>
      <c r="BYT534" s="69"/>
      <c r="BYU534" s="69"/>
      <c r="BYV534" s="69"/>
      <c r="BYW534" s="69"/>
      <c r="BYX534" s="69"/>
      <c r="BYY534" s="69"/>
      <c r="BYZ534" s="69"/>
      <c r="BZA534" s="69"/>
      <c r="BZB534" s="69"/>
      <c r="BZC534" s="69"/>
      <c r="BZD534" s="69"/>
      <c r="BZE534" s="69"/>
      <c r="BZF534" s="69"/>
      <c r="BZG534" s="69"/>
      <c r="BZH534" s="69"/>
      <c r="BZI534" s="69"/>
      <c r="BZJ534" s="69"/>
      <c r="BZK534" s="69"/>
      <c r="BZL534" s="69"/>
      <c r="BZM534" s="69"/>
      <c r="BZN534" s="69"/>
      <c r="BZO534" s="69"/>
      <c r="BZP534" s="69"/>
      <c r="BZQ534" s="69"/>
      <c r="BZR534" s="69"/>
      <c r="BZS534" s="69"/>
      <c r="BZT534" s="69"/>
      <c r="BZU534" s="69"/>
      <c r="BZV534" s="69"/>
      <c r="BZW534" s="69"/>
      <c r="BZX534" s="69"/>
      <c r="BZY534" s="69"/>
      <c r="BZZ534" s="69"/>
      <c r="CAA534" s="69"/>
      <c r="CAB534" s="69"/>
      <c r="CAC534" s="69"/>
      <c r="CAD534" s="69"/>
      <c r="CAE534" s="69"/>
      <c r="CAF534" s="69"/>
      <c r="CAG534" s="69"/>
      <c r="CAH534" s="69"/>
      <c r="CAI534" s="69"/>
      <c r="CAJ534" s="69"/>
      <c r="CAK534" s="69"/>
      <c r="CAL534" s="69"/>
      <c r="CAM534" s="69"/>
      <c r="CAN534" s="69"/>
      <c r="CAO534" s="69"/>
      <c r="CAP534" s="69"/>
      <c r="CAQ534" s="69"/>
      <c r="CAR534" s="69"/>
      <c r="CAS534" s="69"/>
      <c r="CAT534" s="69"/>
      <c r="CAU534" s="69"/>
      <c r="CAV534" s="69"/>
      <c r="CAW534" s="69"/>
      <c r="CAX534" s="69"/>
      <c r="CAY534" s="69"/>
      <c r="CAZ534" s="69"/>
      <c r="CBA534" s="69"/>
      <c r="CBB534" s="69"/>
      <c r="CBC534" s="69"/>
      <c r="CBD534" s="69"/>
      <c r="CBE534" s="69"/>
      <c r="CBF534" s="69"/>
      <c r="CBG534" s="69"/>
      <c r="CBH534" s="69"/>
      <c r="CBI534" s="69"/>
      <c r="CBJ534" s="69"/>
      <c r="CBK534" s="69"/>
      <c r="CBL534" s="69"/>
      <c r="CBM534" s="69"/>
      <c r="CBN534" s="69"/>
      <c r="CBO534" s="69"/>
      <c r="CBP534" s="69"/>
      <c r="CBQ534" s="69"/>
      <c r="CBR534" s="69"/>
      <c r="CBS534" s="69"/>
      <c r="CBT534" s="69"/>
      <c r="CBU534" s="69"/>
      <c r="CBV534" s="69"/>
      <c r="CBW534" s="69"/>
      <c r="CBX534" s="69"/>
      <c r="CBY534" s="69"/>
      <c r="CBZ534" s="69"/>
      <c r="CCA534" s="69"/>
      <c r="CCB534" s="69"/>
      <c r="CCC534" s="69"/>
      <c r="CCD534" s="69"/>
      <c r="CCE534" s="69"/>
      <c r="CCF534" s="69"/>
      <c r="CCG534" s="69"/>
      <c r="CCH534" s="69"/>
      <c r="CCI534" s="69"/>
      <c r="CCJ534" s="69"/>
      <c r="CCK534" s="69"/>
      <c r="CCL534" s="69"/>
      <c r="CCM534" s="69"/>
      <c r="CCN534" s="69"/>
      <c r="CCO534" s="69"/>
      <c r="CCP534" s="69"/>
      <c r="CCQ534" s="69"/>
      <c r="CCR534" s="69"/>
      <c r="CCS534" s="69"/>
      <c r="CCT534" s="69"/>
      <c r="CCU534" s="69"/>
      <c r="CCV534" s="69"/>
      <c r="CCW534" s="69"/>
      <c r="CCX534" s="69"/>
      <c r="CCY534" s="69"/>
      <c r="CCZ534" s="69"/>
      <c r="CDA534" s="69"/>
      <c r="CDB534" s="69"/>
      <c r="CDC534" s="69"/>
      <c r="CDD534" s="69"/>
      <c r="CDE534" s="69"/>
      <c r="CDF534" s="69"/>
      <c r="CDG534" s="69"/>
      <c r="CDH534" s="69"/>
      <c r="CDI534" s="69"/>
      <c r="CDJ534" s="69"/>
      <c r="CDK534" s="69"/>
      <c r="CDL534" s="69"/>
      <c r="CDM534" s="69"/>
      <c r="CDN534" s="69"/>
      <c r="CDO534" s="69"/>
      <c r="CDP534" s="69"/>
      <c r="CDQ534" s="69"/>
      <c r="CDR534" s="69"/>
      <c r="CDS534" s="69"/>
      <c r="CDT534" s="69"/>
      <c r="CDU534" s="69"/>
      <c r="CDV534" s="69"/>
      <c r="CDW534" s="69"/>
      <c r="CDX534" s="69"/>
      <c r="CDY534" s="69"/>
      <c r="CDZ534" s="69"/>
      <c r="CEA534" s="69"/>
      <c r="CEB534" s="69"/>
      <c r="CEC534" s="69"/>
      <c r="CED534" s="69"/>
      <c r="CEE534" s="69"/>
      <c r="CEF534" s="69"/>
      <c r="CEG534" s="69"/>
      <c r="CEH534" s="69"/>
      <c r="CEI534" s="69"/>
      <c r="CEJ534" s="69"/>
      <c r="CEK534" s="69"/>
      <c r="CEL534" s="69"/>
      <c r="CEM534" s="69"/>
      <c r="CEN534" s="69"/>
      <c r="CEO534" s="69"/>
      <c r="CEP534" s="69"/>
      <c r="CEQ534" s="69"/>
      <c r="CER534" s="69"/>
      <c r="CES534" s="69"/>
      <c r="CET534" s="69"/>
      <c r="CEU534" s="69"/>
      <c r="CEV534" s="69"/>
      <c r="CEW534" s="69"/>
      <c r="CEX534" s="69"/>
      <c r="CEY534" s="69"/>
      <c r="CEZ534" s="69"/>
      <c r="CFA534" s="69"/>
      <c r="CFB534" s="69"/>
      <c r="CFC534" s="69"/>
      <c r="CFD534" s="69"/>
      <c r="CFE534" s="69"/>
      <c r="CFF534" s="69"/>
      <c r="CFG534" s="69"/>
      <c r="CFH534" s="69"/>
      <c r="CFI534" s="69"/>
      <c r="CFJ534" s="69"/>
      <c r="CFK534" s="69"/>
      <c r="CFL534" s="69"/>
      <c r="CFM534" s="69"/>
      <c r="CFN534" s="69"/>
      <c r="CFO534" s="69"/>
      <c r="CFP534" s="69"/>
      <c r="CFQ534" s="69"/>
      <c r="CFR534" s="69"/>
      <c r="CFS534" s="69"/>
      <c r="CFT534" s="69"/>
      <c r="CFU534" s="69"/>
      <c r="CFV534" s="69"/>
      <c r="CFW534" s="69"/>
      <c r="CFX534" s="69"/>
      <c r="CFY534" s="69"/>
      <c r="CFZ534" s="69"/>
      <c r="CGA534" s="69"/>
      <c r="CGB534" s="69"/>
      <c r="CGC534" s="69"/>
      <c r="CGD534" s="69"/>
      <c r="CGE534" s="69"/>
      <c r="CGF534" s="69"/>
      <c r="CGG534" s="69"/>
      <c r="CGH534" s="69"/>
      <c r="CGI534" s="69"/>
      <c r="CGJ534" s="69"/>
      <c r="CGK534" s="69"/>
      <c r="CGL534" s="69"/>
      <c r="CGM534" s="69"/>
      <c r="CGN534" s="69"/>
      <c r="CGO534" s="69"/>
      <c r="CGP534" s="69"/>
      <c r="CGQ534" s="69"/>
      <c r="CGR534" s="69"/>
      <c r="CGS534" s="69"/>
      <c r="CGT534" s="69"/>
      <c r="CGU534" s="69"/>
      <c r="CGV534" s="69"/>
      <c r="CGW534" s="69"/>
      <c r="CGX534" s="69"/>
      <c r="CGY534" s="69"/>
      <c r="CGZ534" s="69"/>
      <c r="CHA534" s="69"/>
      <c r="CHB534" s="69"/>
      <c r="CHC534" s="69"/>
      <c r="CHD534" s="69"/>
      <c r="CHE534" s="69"/>
      <c r="CHF534" s="69"/>
      <c r="CHG534" s="69"/>
      <c r="CHH534" s="69"/>
      <c r="CHI534" s="69"/>
      <c r="CHJ534" s="69"/>
      <c r="CHK534" s="69"/>
      <c r="CHL534" s="69"/>
      <c r="CHM534" s="69"/>
      <c r="CHN534" s="69"/>
      <c r="CHO534" s="69"/>
      <c r="CHP534" s="69"/>
      <c r="CHQ534" s="69"/>
      <c r="CHR534" s="69"/>
      <c r="CHS534" s="69"/>
      <c r="CHT534" s="69"/>
      <c r="CHU534" s="69"/>
      <c r="CHV534" s="69"/>
      <c r="CHW534" s="69"/>
      <c r="CHX534" s="69"/>
      <c r="CHY534" s="69"/>
      <c r="CHZ534" s="69"/>
      <c r="CIA534" s="69"/>
      <c r="CIB534" s="69"/>
      <c r="CIC534" s="69"/>
      <c r="CID534" s="69"/>
      <c r="CIE534" s="69"/>
      <c r="CIF534" s="69"/>
      <c r="CIG534" s="69"/>
      <c r="CIH534" s="69"/>
      <c r="CII534" s="69"/>
      <c r="CIJ534" s="69"/>
      <c r="CIK534" s="69"/>
      <c r="CIL534" s="69"/>
      <c r="CIM534" s="69"/>
      <c r="CIN534" s="69"/>
      <c r="CIO534" s="69"/>
      <c r="CIP534" s="69"/>
      <c r="CIQ534" s="69"/>
      <c r="CIR534" s="69"/>
      <c r="CIS534" s="69"/>
      <c r="CIT534" s="69"/>
      <c r="CIU534" s="69"/>
      <c r="CIV534" s="69"/>
      <c r="CIW534" s="69"/>
      <c r="CIX534" s="69"/>
      <c r="CIY534" s="69"/>
      <c r="CIZ534" s="69"/>
      <c r="CJA534" s="69"/>
      <c r="CJB534" s="69"/>
      <c r="CJC534" s="69"/>
      <c r="CJD534" s="69"/>
      <c r="CJE534" s="69"/>
      <c r="CJF534" s="69"/>
      <c r="CJG534" s="69"/>
      <c r="CJH534" s="69"/>
      <c r="CJI534" s="69"/>
      <c r="CJJ534" s="69"/>
      <c r="CJK534" s="69"/>
      <c r="CJL534" s="69"/>
      <c r="CJM534" s="69"/>
      <c r="CJN534" s="69"/>
      <c r="CJO534" s="69"/>
      <c r="CJP534" s="69"/>
      <c r="CJQ534" s="69"/>
      <c r="CJR534" s="69"/>
      <c r="CJS534" s="69"/>
      <c r="CJT534" s="69"/>
      <c r="CJU534" s="69"/>
      <c r="CJV534" s="69"/>
      <c r="CJW534" s="69"/>
      <c r="CJX534" s="69"/>
      <c r="CJY534" s="69"/>
      <c r="CJZ534" s="69"/>
      <c r="CKA534" s="69"/>
      <c r="CKB534" s="69"/>
      <c r="CKC534" s="69"/>
      <c r="CKD534" s="69"/>
      <c r="CKE534" s="69"/>
      <c r="CKF534" s="69"/>
      <c r="CKG534" s="69"/>
      <c r="CKH534" s="69"/>
      <c r="CKI534" s="69"/>
      <c r="CKJ534" s="69"/>
      <c r="CKK534" s="69"/>
      <c r="CKL534" s="69"/>
      <c r="CKM534" s="69"/>
      <c r="CKN534" s="69"/>
      <c r="CKO534" s="69"/>
      <c r="CKP534" s="69"/>
      <c r="CKQ534" s="69"/>
      <c r="CKR534" s="69"/>
      <c r="CKS534" s="69"/>
      <c r="CKT534" s="69"/>
      <c r="CKU534" s="69"/>
      <c r="CKV534" s="69"/>
      <c r="CKW534" s="69"/>
      <c r="CKX534" s="69"/>
      <c r="CKY534" s="69"/>
      <c r="CKZ534" s="69"/>
      <c r="CLA534" s="69"/>
      <c r="CLB534" s="69"/>
      <c r="CLC534" s="69"/>
      <c r="CLD534" s="69"/>
      <c r="CLE534" s="69"/>
      <c r="CLF534" s="69"/>
      <c r="CLG534" s="69"/>
      <c r="CLH534" s="69"/>
      <c r="CLI534" s="69"/>
      <c r="CLJ534" s="69"/>
      <c r="CLK534" s="69"/>
      <c r="CLL534" s="69"/>
      <c r="CLM534" s="69"/>
      <c r="CLN534" s="69"/>
      <c r="CLO534" s="69"/>
      <c r="CLP534" s="69"/>
      <c r="CLQ534" s="69"/>
      <c r="CLR534" s="69"/>
      <c r="CLS534" s="69"/>
      <c r="CLT534" s="69"/>
      <c r="CLU534" s="69"/>
      <c r="CLV534" s="69"/>
      <c r="CLW534" s="69"/>
      <c r="CLX534" s="69"/>
      <c r="CLY534" s="69"/>
      <c r="CLZ534" s="69"/>
      <c r="CMA534" s="69"/>
      <c r="CMB534" s="69"/>
      <c r="CMC534" s="69"/>
      <c r="CMD534" s="69"/>
      <c r="CME534" s="69"/>
      <c r="CMF534" s="69"/>
      <c r="CMG534" s="69"/>
      <c r="CMH534" s="69"/>
      <c r="CMI534" s="69"/>
      <c r="CMJ534" s="69"/>
      <c r="CMK534" s="69"/>
      <c r="CML534" s="69"/>
      <c r="CMM534" s="69"/>
      <c r="CMN534" s="69"/>
      <c r="CMO534" s="69"/>
      <c r="CMP534" s="69"/>
      <c r="CMQ534" s="69"/>
      <c r="CMR534" s="69"/>
      <c r="CMS534" s="69"/>
      <c r="CMT534" s="69"/>
      <c r="CMU534" s="69"/>
      <c r="CMV534" s="69"/>
      <c r="CMW534" s="69"/>
      <c r="CMX534" s="69"/>
      <c r="CMY534" s="69"/>
      <c r="CMZ534" s="69"/>
      <c r="CNA534" s="69"/>
      <c r="CNB534" s="69"/>
      <c r="CNC534" s="69"/>
      <c r="CND534" s="69"/>
      <c r="CNE534" s="69"/>
      <c r="CNF534" s="69"/>
      <c r="CNG534" s="69"/>
      <c r="CNH534" s="69"/>
      <c r="CNI534" s="69"/>
      <c r="CNJ534" s="69"/>
      <c r="CNK534" s="69"/>
      <c r="CNL534" s="69"/>
      <c r="CNM534" s="69"/>
      <c r="CNN534" s="69"/>
      <c r="CNO534" s="69"/>
      <c r="CNP534" s="69"/>
      <c r="CNQ534" s="69"/>
      <c r="CNR534" s="69"/>
      <c r="CNS534" s="69"/>
      <c r="CNT534" s="69"/>
      <c r="CNU534" s="69"/>
      <c r="CNV534" s="69"/>
      <c r="CNW534" s="69"/>
      <c r="CNX534" s="69"/>
      <c r="CNY534" s="69"/>
      <c r="CNZ534" s="69"/>
      <c r="COA534" s="69"/>
      <c r="COB534" s="69"/>
      <c r="COC534" s="69"/>
      <c r="COD534" s="69"/>
      <c r="COE534" s="69"/>
      <c r="COF534" s="69"/>
      <c r="COG534" s="69"/>
      <c r="COH534" s="69"/>
      <c r="COI534" s="69"/>
      <c r="COJ534" s="69"/>
      <c r="COK534" s="69"/>
      <c r="COL534" s="69"/>
      <c r="COM534" s="69"/>
      <c r="CON534" s="69"/>
      <c r="COO534" s="69"/>
      <c r="COP534" s="69"/>
      <c r="COQ534" s="69"/>
      <c r="COR534" s="69"/>
      <c r="COS534" s="69"/>
      <c r="COT534" s="69"/>
      <c r="COU534" s="69"/>
      <c r="COV534" s="69"/>
      <c r="COW534" s="69"/>
      <c r="COX534" s="69"/>
      <c r="COY534" s="69"/>
      <c r="COZ534" s="69"/>
      <c r="CPA534" s="69"/>
      <c r="CPB534" s="69"/>
      <c r="CPC534" s="69"/>
      <c r="CPD534" s="69"/>
      <c r="CPE534" s="69"/>
      <c r="CPF534" s="69"/>
      <c r="CPG534" s="69"/>
      <c r="CPH534" s="69"/>
      <c r="CPI534" s="69"/>
      <c r="CPJ534" s="69"/>
      <c r="CPK534" s="69"/>
      <c r="CPL534" s="69"/>
      <c r="CPM534" s="69"/>
      <c r="CPN534" s="69"/>
      <c r="CPO534" s="69"/>
      <c r="CPP534" s="69"/>
      <c r="CPQ534" s="69"/>
      <c r="CPR534" s="69"/>
      <c r="CPS534" s="69"/>
      <c r="CPT534" s="69"/>
      <c r="CPU534" s="69"/>
      <c r="CPV534" s="69"/>
      <c r="CPW534" s="69"/>
      <c r="CPX534" s="69"/>
      <c r="CPY534" s="69"/>
      <c r="CPZ534" s="69"/>
      <c r="CQA534" s="69"/>
      <c r="CQB534" s="69"/>
      <c r="CQC534" s="69"/>
      <c r="CQD534" s="69"/>
      <c r="CQE534" s="69"/>
      <c r="CQF534" s="69"/>
      <c r="CQG534" s="69"/>
      <c r="CQH534" s="69"/>
      <c r="CQI534" s="69"/>
      <c r="CQJ534" s="69"/>
      <c r="CQK534" s="69"/>
      <c r="CQL534" s="69"/>
      <c r="CQM534" s="69"/>
      <c r="CQN534" s="69"/>
      <c r="CQO534" s="69"/>
      <c r="CQP534" s="69"/>
      <c r="CQQ534" s="69"/>
      <c r="CQR534" s="69"/>
      <c r="CQS534" s="69"/>
      <c r="CQT534" s="69"/>
      <c r="CQU534" s="69"/>
      <c r="CQV534" s="69"/>
      <c r="CQW534" s="69"/>
      <c r="CQX534" s="69"/>
      <c r="CQY534" s="69"/>
      <c r="CQZ534" s="69"/>
      <c r="CRA534" s="69"/>
      <c r="CRB534" s="69"/>
      <c r="CRC534" s="69"/>
      <c r="CRD534" s="69"/>
      <c r="CRE534" s="69"/>
      <c r="CRF534" s="69"/>
      <c r="CRG534" s="69"/>
      <c r="CRH534" s="69"/>
      <c r="CRI534" s="69"/>
      <c r="CRJ534" s="69"/>
      <c r="CRK534" s="69"/>
      <c r="CRL534" s="69"/>
      <c r="CRM534" s="69"/>
      <c r="CRN534" s="69"/>
      <c r="CRO534" s="69"/>
      <c r="CRP534" s="69"/>
      <c r="CRQ534" s="69"/>
      <c r="CRR534" s="69"/>
      <c r="CRS534" s="69"/>
      <c r="CRT534" s="69"/>
      <c r="CRU534" s="69"/>
      <c r="CRV534" s="69"/>
      <c r="CRW534" s="69"/>
      <c r="CRX534" s="69"/>
      <c r="CRY534" s="69"/>
      <c r="CRZ534" s="69"/>
      <c r="CSA534" s="69"/>
      <c r="CSB534" s="69"/>
      <c r="CSC534" s="69"/>
      <c r="CSD534" s="69"/>
      <c r="CSE534" s="69"/>
      <c r="CSF534" s="69"/>
      <c r="CSG534" s="69"/>
      <c r="CSH534" s="69"/>
      <c r="CSI534" s="69"/>
      <c r="CSJ534" s="69"/>
      <c r="CSK534" s="69"/>
      <c r="CSL534" s="69"/>
      <c r="CSM534" s="69"/>
      <c r="CSN534" s="69"/>
      <c r="CSO534" s="69"/>
      <c r="CSP534" s="69"/>
      <c r="CSQ534" s="69"/>
      <c r="CSR534" s="69"/>
      <c r="CSS534" s="69"/>
      <c r="CST534" s="69"/>
      <c r="CSU534" s="69"/>
      <c r="CSV534" s="69"/>
      <c r="CSW534" s="69"/>
      <c r="CSX534" s="69"/>
      <c r="CSY534" s="69"/>
      <c r="CSZ534" s="69"/>
      <c r="CTA534" s="69"/>
      <c r="CTB534" s="69"/>
      <c r="CTC534" s="69"/>
      <c r="CTD534" s="69"/>
      <c r="CTE534" s="69"/>
      <c r="CTF534" s="69"/>
      <c r="CTG534" s="69"/>
      <c r="CTH534" s="69"/>
      <c r="CTI534" s="69"/>
      <c r="CTJ534" s="69"/>
      <c r="CTK534" s="69"/>
      <c r="CTL534" s="69"/>
      <c r="CTM534" s="69"/>
      <c r="CTN534" s="69"/>
      <c r="CTO534" s="69"/>
      <c r="CTP534" s="69"/>
      <c r="CTQ534" s="69"/>
      <c r="CTR534" s="69"/>
      <c r="CTS534" s="69"/>
      <c r="CTT534" s="69"/>
      <c r="CTU534" s="69"/>
      <c r="CTV534" s="69"/>
      <c r="CTW534" s="69"/>
      <c r="CTX534" s="69"/>
      <c r="CTY534" s="69"/>
      <c r="CTZ534" s="69"/>
      <c r="CUA534" s="69"/>
      <c r="CUB534" s="69"/>
      <c r="CUC534" s="69"/>
      <c r="CUD534" s="69"/>
      <c r="CUE534" s="69"/>
      <c r="CUF534" s="69"/>
      <c r="CUG534" s="69"/>
      <c r="CUH534" s="69"/>
      <c r="CUI534" s="69"/>
      <c r="CUJ534" s="69"/>
      <c r="CUK534" s="69"/>
      <c r="CUL534" s="69"/>
      <c r="CUM534" s="69"/>
      <c r="CUN534" s="69"/>
      <c r="CUO534" s="69"/>
      <c r="CUP534" s="69"/>
      <c r="CUQ534" s="69"/>
      <c r="CUR534" s="69"/>
      <c r="CUS534" s="69"/>
      <c r="CUT534" s="69"/>
      <c r="CUU534" s="69"/>
      <c r="CUV534" s="69"/>
      <c r="CUW534" s="69"/>
      <c r="CUX534" s="69"/>
      <c r="CUY534" s="69"/>
      <c r="CUZ534" s="69"/>
      <c r="CVA534" s="69"/>
      <c r="CVB534" s="69"/>
      <c r="CVC534" s="69"/>
      <c r="CVD534" s="69"/>
      <c r="CVE534" s="69"/>
      <c r="CVF534" s="69"/>
      <c r="CVG534" s="69"/>
      <c r="CVH534" s="69"/>
      <c r="CVI534" s="69"/>
      <c r="CVJ534" s="69"/>
      <c r="CVK534" s="69"/>
      <c r="CVL534" s="69"/>
      <c r="CVM534" s="69"/>
      <c r="CVN534" s="69"/>
      <c r="CVO534" s="69"/>
      <c r="CVP534" s="69"/>
      <c r="CVQ534" s="69"/>
      <c r="CVR534" s="69"/>
      <c r="CVS534" s="69"/>
      <c r="CVT534" s="69"/>
      <c r="CVU534" s="69"/>
      <c r="CVV534" s="69"/>
      <c r="CVW534" s="69"/>
      <c r="CVX534" s="69"/>
      <c r="CVY534" s="69"/>
      <c r="CVZ534" s="69"/>
      <c r="CWA534" s="69"/>
      <c r="CWB534" s="69"/>
      <c r="CWC534" s="69"/>
      <c r="CWD534" s="69"/>
      <c r="CWE534" s="69"/>
      <c r="CWF534" s="69"/>
      <c r="CWG534" s="69"/>
      <c r="CWH534" s="69"/>
      <c r="CWI534" s="69"/>
      <c r="CWJ534" s="69"/>
      <c r="CWK534" s="69"/>
      <c r="CWL534" s="69"/>
      <c r="CWM534" s="69"/>
      <c r="CWN534" s="69"/>
      <c r="CWO534" s="69"/>
      <c r="CWP534" s="69"/>
      <c r="CWQ534" s="69"/>
      <c r="CWR534" s="69"/>
      <c r="CWS534" s="69"/>
      <c r="CWT534" s="69"/>
      <c r="CWU534" s="69"/>
      <c r="CWV534" s="69"/>
      <c r="CWW534" s="69"/>
      <c r="CWX534" s="69"/>
      <c r="CWY534" s="69"/>
      <c r="CWZ534" s="69"/>
      <c r="CXA534" s="69"/>
      <c r="CXB534" s="69"/>
      <c r="CXC534" s="69"/>
      <c r="CXD534" s="69"/>
      <c r="CXE534" s="69"/>
      <c r="CXF534" s="69"/>
      <c r="CXG534" s="69"/>
      <c r="CXH534" s="69"/>
      <c r="CXI534" s="69"/>
      <c r="CXJ534" s="69"/>
      <c r="CXK534" s="69"/>
      <c r="CXL534" s="69"/>
      <c r="CXM534" s="69"/>
      <c r="CXN534" s="69"/>
      <c r="CXO534" s="69"/>
      <c r="CXP534" s="69"/>
      <c r="CXQ534" s="69"/>
      <c r="CXR534" s="69"/>
      <c r="CXS534" s="69"/>
      <c r="CXT534" s="69"/>
      <c r="CXU534" s="69"/>
      <c r="CXV534" s="69"/>
      <c r="CXW534" s="69"/>
      <c r="CXX534" s="69"/>
      <c r="CXY534" s="69"/>
      <c r="CXZ534" s="69"/>
      <c r="CYA534" s="69"/>
      <c r="CYB534" s="69"/>
      <c r="CYC534" s="69"/>
      <c r="CYD534" s="69"/>
      <c r="CYE534" s="69"/>
      <c r="CYF534" s="69"/>
      <c r="CYG534" s="69"/>
      <c r="CYH534" s="69"/>
      <c r="CYI534" s="69"/>
      <c r="CYJ534" s="69"/>
      <c r="CYK534" s="69"/>
      <c r="CYL534" s="69"/>
      <c r="CYM534" s="69"/>
      <c r="CYN534" s="69"/>
      <c r="CYO534" s="69"/>
      <c r="CYP534" s="69"/>
      <c r="CYQ534" s="69"/>
      <c r="CYR534" s="69"/>
      <c r="CYS534" s="69"/>
      <c r="CYT534" s="69"/>
      <c r="CYU534" s="69"/>
      <c r="CYV534" s="69"/>
      <c r="CYW534" s="69"/>
      <c r="CYX534" s="69"/>
      <c r="CYY534" s="69"/>
      <c r="CYZ534" s="69"/>
      <c r="CZA534" s="69"/>
      <c r="CZB534" s="69"/>
      <c r="CZC534" s="69"/>
      <c r="CZD534" s="69"/>
      <c r="CZE534" s="69"/>
      <c r="CZF534" s="69"/>
      <c r="CZG534" s="69"/>
      <c r="CZH534" s="69"/>
      <c r="CZI534" s="69"/>
      <c r="CZJ534" s="69"/>
      <c r="CZK534" s="69"/>
      <c r="CZL534" s="69"/>
      <c r="CZM534" s="69"/>
      <c r="CZN534" s="69"/>
      <c r="CZO534" s="69"/>
      <c r="CZP534" s="69"/>
      <c r="CZQ534" s="69"/>
      <c r="CZR534" s="69"/>
      <c r="CZS534" s="69"/>
      <c r="CZT534" s="69"/>
      <c r="CZU534" s="69"/>
      <c r="CZV534" s="69"/>
      <c r="CZW534" s="69"/>
      <c r="CZX534" s="69"/>
      <c r="CZY534" s="69"/>
      <c r="CZZ534" s="69"/>
      <c r="DAA534" s="69"/>
      <c r="DAB534" s="69"/>
      <c r="DAC534" s="69"/>
      <c r="DAD534" s="69"/>
      <c r="DAE534" s="69"/>
      <c r="DAF534" s="69"/>
      <c r="DAG534" s="69"/>
      <c r="DAH534" s="69"/>
      <c r="DAI534" s="69"/>
      <c r="DAJ534" s="69"/>
      <c r="DAK534" s="69"/>
      <c r="DAL534" s="69"/>
      <c r="DAM534" s="69"/>
      <c r="DAN534" s="69"/>
      <c r="DAO534" s="69"/>
      <c r="DAP534" s="69"/>
      <c r="DAQ534" s="69"/>
      <c r="DAR534" s="69"/>
      <c r="DAS534" s="69"/>
      <c r="DAT534" s="69"/>
      <c r="DAU534" s="69"/>
      <c r="DAV534" s="69"/>
      <c r="DAW534" s="69"/>
      <c r="DAX534" s="69"/>
      <c r="DAY534" s="69"/>
      <c r="DAZ534" s="69"/>
      <c r="DBA534" s="69"/>
      <c r="DBB534" s="69"/>
      <c r="DBC534" s="69"/>
      <c r="DBD534" s="69"/>
      <c r="DBE534" s="69"/>
      <c r="DBF534" s="69"/>
      <c r="DBG534" s="69"/>
      <c r="DBH534" s="69"/>
      <c r="DBI534" s="69"/>
      <c r="DBJ534" s="69"/>
      <c r="DBK534" s="69"/>
      <c r="DBL534" s="69"/>
      <c r="DBM534" s="69"/>
      <c r="DBN534" s="69"/>
      <c r="DBO534" s="69"/>
      <c r="DBP534" s="69"/>
      <c r="DBQ534" s="69"/>
      <c r="DBR534" s="69"/>
      <c r="DBS534" s="69"/>
      <c r="DBT534" s="69"/>
      <c r="DBU534" s="69"/>
      <c r="DBV534" s="69"/>
      <c r="DBW534" s="69"/>
      <c r="DBX534" s="69"/>
      <c r="DBY534" s="69"/>
      <c r="DBZ534" s="69"/>
      <c r="DCA534" s="69"/>
      <c r="DCB534" s="69"/>
      <c r="DCC534" s="69"/>
      <c r="DCD534" s="69"/>
      <c r="DCE534" s="69"/>
      <c r="DCF534" s="69"/>
      <c r="DCG534" s="69"/>
      <c r="DCH534" s="69"/>
      <c r="DCI534" s="69"/>
      <c r="DCJ534" s="69"/>
      <c r="DCK534" s="69"/>
      <c r="DCL534" s="69"/>
      <c r="DCM534" s="69"/>
      <c r="DCN534" s="69"/>
      <c r="DCO534" s="69"/>
      <c r="DCP534" s="69"/>
      <c r="DCQ534" s="69"/>
      <c r="DCR534" s="69"/>
      <c r="DCS534" s="69"/>
      <c r="DCT534" s="69"/>
      <c r="DCU534" s="69"/>
      <c r="DCV534" s="69"/>
      <c r="DCW534" s="69"/>
      <c r="DCX534" s="69"/>
      <c r="DCY534" s="69"/>
      <c r="DCZ534" s="69"/>
      <c r="DDA534" s="69"/>
      <c r="DDB534" s="69"/>
      <c r="DDC534" s="69"/>
      <c r="DDD534" s="69"/>
      <c r="DDE534" s="69"/>
      <c r="DDF534" s="69"/>
      <c r="DDG534" s="69"/>
      <c r="DDH534" s="69"/>
      <c r="DDI534" s="69"/>
      <c r="DDJ534" s="69"/>
      <c r="DDK534" s="69"/>
      <c r="DDL534" s="69"/>
      <c r="DDM534" s="69"/>
      <c r="DDN534" s="69"/>
      <c r="DDO534" s="69"/>
      <c r="DDP534" s="69"/>
      <c r="DDQ534" s="69"/>
      <c r="DDR534" s="69"/>
      <c r="DDS534" s="69"/>
      <c r="DDT534" s="69"/>
      <c r="DDU534" s="69"/>
      <c r="DDV534" s="69"/>
      <c r="DDW534" s="69"/>
      <c r="DDX534" s="69"/>
      <c r="DDY534" s="69"/>
      <c r="DDZ534" s="69"/>
      <c r="DEA534" s="69"/>
      <c r="DEB534" s="69"/>
      <c r="DEC534" s="69"/>
      <c r="DED534" s="69"/>
      <c r="DEE534" s="69"/>
      <c r="DEF534" s="69"/>
      <c r="DEG534" s="69"/>
      <c r="DEH534" s="69"/>
      <c r="DEI534" s="69"/>
      <c r="DEJ534" s="69"/>
      <c r="DEK534" s="69"/>
      <c r="DEL534" s="69"/>
      <c r="DEM534" s="69"/>
      <c r="DEN534" s="69"/>
      <c r="DEO534" s="69"/>
      <c r="DEP534" s="69"/>
      <c r="DEQ534" s="69"/>
      <c r="DER534" s="69"/>
      <c r="DES534" s="69"/>
      <c r="DET534" s="69"/>
      <c r="DEU534" s="69"/>
      <c r="DEV534" s="69"/>
      <c r="DEW534" s="69"/>
      <c r="DEX534" s="69"/>
      <c r="DEY534" s="69"/>
      <c r="DEZ534" s="69"/>
      <c r="DFA534" s="69"/>
      <c r="DFB534" s="69"/>
      <c r="DFC534" s="69"/>
      <c r="DFD534" s="69"/>
      <c r="DFE534" s="69"/>
      <c r="DFF534" s="69"/>
      <c r="DFG534" s="69"/>
      <c r="DFH534" s="69"/>
      <c r="DFI534" s="69"/>
      <c r="DFJ534" s="69"/>
      <c r="DFK534" s="69"/>
      <c r="DFL534" s="69"/>
      <c r="DFM534" s="69"/>
      <c r="DFN534" s="69"/>
      <c r="DFO534" s="69"/>
      <c r="DFP534" s="69"/>
      <c r="DFQ534" s="69"/>
      <c r="DFR534" s="69"/>
      <c r="DFS534" s="69"/>
      <c r="DFT534" s="69"/>
      <c r="DFU534" s="69"/>
      <c r="DFV534" s="69"/>
      <c r="DFW534" s="69"/>
      <c r="DFX534" s="69"/>
      <c r="DFY534" s="69"/>
      <c r="DFZ534" s="69"/>
      <c r="DGA534" s="69"/>
      <c r="DGB534" s="69"/>
      <c r="DGC534" s="69"/>
      <c r="DGD534" s="69"/>
      <c r="DGE534" s="69"/>
      <c r="DGF534" s="69"/>
      <c r="DGG534" s="69"/>
      <c r="DGH534" s="69"/>
      <c r="DGI534" s="69"/>
      <c r="DGJ534" s="69"/>
      <c r="DGK534" s="69"/>
      <c r="DGL534" s="69"/>
      <c r="DGM534" s="69"/>
      <c r="DGN534" s="69"/>
      <c r="DGO534" s="69"/>
      <c r="DGP534" s="69"/>
      <c r="DGQ534" s="69"/>
      <c r="DGR534" s="69"/>
      <c r="DGS534" s="69"/>
      <c r="DGT534" s="69"/>
      <c r="DGU534" s="69"/>
      <c r="DGV534" s="69"/>
      <c r="DGW534" s="69"/>
      <c r="DGX534" s="69"/>
      <c r="DGY534" s="69"/>
      <c r="DGZ534" s="69"/>
      <c r="DHA534" s="69"/>
      <c r="DHB534" s="69"/>
      <c r="DHC534" s="69"/>
      <c r="DHD534" s="69"/>
      <c r="DHE534" s="69"/>
      <c r="DHF534" s="69"/>
      <c r="DHG534" s="69"/>
      <c r="DHH534" s="69"/>
      <c r="DHI534" s="69"/>
      <c r="DHJ534" s="69"/>
      <c r="DHK534" s="69"/>
      <c r="DHL534" s="69"/>
      <c r="DHM534" s="69"/>
      <c r="DHN534" s="69"/>
      <c r="DHO534" s="69"/>
      <c r="DHP534" s="69"/>
      <c r="DHQ534" s="69"/>
      <c r="DHR534" s="69"/>
      <c r="DHS534" s="69"/>
      <c r="DHT534" s="69"/>
      <c r="DHU534" s="69"/>
      <c r="DHV534" s="69"/>
      <c r="DHW534" s="69"/>
      <c r="DHX534" s="69"/>
      <c r="DHY534" s="69"/>
      <c r="DHZ534" s="69"/>
      <c r="DIA534" s="69"/>
      <c r="DIB534" s="69"/>
      <c r="DIC534" s="69"/>
      <c r="DID534" s="69"/>
      <c r="DIE534" s="69"/>
      <c r="DIF534" s="69"/>
      <c r="DIG534" s="69"/>
      <c r="DIH534" s="69"/>
      <c r="DII534" s="69"/>
      <c r="DIJ534" s="69"/>
      <c r="DIK534" s="69"/>
      <c r="DIL534" s="69"/>
      <c r="DIM534" s="69"/>
      <c r="DIN534" s="69"/>
      <c r="DIO534" s="69"/>
      <c r="DIP534" s="69"/>
      <c r="DIQ534" s="69"/>
      <c r="DIR534" s="69"/>
      <c r="DIS534" s="69"/>
      <c r="DIT534" s="69"/>
      <c r="DIU534" s="69"/>
      <c r="DIV534" s="69"/>
      <c r="DIW534" s="69"/>
      <c r="DIX534" s="69"/>
      <c r="DIY534" s="69"/>
      <c r="DIZ534" s="69"/>
      <c r="DJA534" s="69"/>
      <c r="DJB534" s="69"/>
      <c r="DJC534" s="69"/>
      <c r="DJD534" s="69"/>
      <c r="DJE534" s="69"/>
      <c r="DJF534" s="69"/>
      <c r="DJG534" s="69"/>
      <c r="DJH534" s="69"/>
      <c r="DJI534" s="69"/>
      <c r="DJJ534" s="69"/>
      <c r="DJK534" s="69"/>
      <c r="DJL534" s="69"/>
      <c r="DJM534" s="69"/>
      <c r="DJN534" s="69"/>
      <c r="DJO534" s="69"/>
      <c r="DJP534" s="69"/>
      <c r="DJQ534" s="69"/>
      <c r="DJR534" s="69"/>
      <c r="DJS534" s="69"/>
      <c r="DJT534" s="69"/>
      <c r="DJU534" s="69"/>
      <c r="DJV534" s="69"/>
      <c r="DJW534" s="69"/>
      <c r="DJX534" s="69"/>
      <c r="DJY534" s="69"/>
      <c r="DJZ534" s="69"/>
      <c r="DKA534" s="69"/>
      <c r="DKB534" s="69"/>
      <c r="DKC534" s="69"/>
      <c r="DKD534" s="69"/>
      <c r="DKE534" s="69"/>
      <c r="DKF534" s="69"/>
      <c r="DKG534" s="69"/>
      <c r="DKH534" s="69"/>
      <c r="DKI534" s="69"/>
      <c r="DKJ534" s="69"/>
      <c r="DKK534" s="69"/>
      <c r="DKL534" s="69"/>
      <c r="DKM534" s="69"/>
      <c r="DKN534" s="69"/>
      <c r="DKO534" s="69"/>
      <c r="DKP534" s="69"/>
      <c r="DKQ534" s="69"/>
      <c r="DKR534" s="69"/>
      <c r="DKS534" s="69"/>
      <c r="DKT534" s="69"/>
      <c r="DKU534" s="69"/>
      <c r="DKV534" s="69"/>
      <c r="DKW534" s="69"/>
      <c r="DKX534" s="69"/>
      <c r="DKY534" s="69"/>
      <c r="DKZ534" s="69"/>
      <c r="DLA534" s="69"/>
      <c r="DLB534" s="69"/>
      <c r="DLC534" s="69"/>
      <c r="DLD534" s="69"/>
      <c r="DLE534" s="69"/>
      <c r="DLF534" s="69"/>
      <c r="DLG534" s="69"/>
      <c r="DLH534" s="69"/>
      <c r="DLI534" s="69"/>
      <c r="DLJ534" s="69"/>
      <c r="DLK534" s="69"/>
      <c r="DLL534" s="69"/>
      <c r="DLM534" s="69"/>
      <c r="DLN534" s="69"/>
      <c r="DLO534" s="69"/>
      <c r="DLP534" s="69"/>
      <c r="DLQ534" s="69"/>
      <c r="DLR534" s="69"/>
      <c r="DLS534" s="69"/>
      <c r="DLT534" s="69"/>
      <c r="DLU534" s="69"/>
      <c r="DLV534" s="69"/>
      <c r="DLW534" s="69"/>
      <c r="DLX534" s="69"/>
      <c r="DLY534" s="69"/>
      <c r="DLZ534" s="69"/>
      <c r="DMA534" s="69"/>
      <c r="DMB534" s="69"/>
      <c r="DMC534" s="69"/>
      <c r="DMD534" s="69"/>
      <c r="DME534" s="69"/>
      <c r="DMF534" s="69"/>
      <c r="DMG534" s="69"/>
      <c r="DMH534" s="69"/>
      <c r="DMI534" s="69"/>
      <c r="DMJ534" s="69"/>
      <c r="DMK534" s="69"/>
      <c r="DML534" s="69"/>
      <c r="DMM534" s="69"/>
      <c r="DMN534" s="69"/>
      <c r="DMO534" s="69"/>
      <c r="DMP534" s="69"/>
      <c r="DMQ534" s="69"/>
      <c r="DMR534" s="69"/>
      <c r="DMS534" s="69"/>
      <c r="DMT534" s="69"/>
      <c r="DMU534" s="69"/>
      <c r="DMV534" s="69"/>
      <c r="DMW534" s="69"/>
      <c r="DMX534" s="69"/>
      <c r="DMY534" s="69"/>
      <c r="DMZ534" s="69"/>
      <c r="DNA534" s="69"/>
      <c r="DNB534" s="69"/>
      <c r="DNC534" s="69"/>
      <c r="DND534" s="69"/>
      <c r="DNE534" s="69"/>
      <c r="DNF534" s="69"/>
      <c r="DNG534" s="69"/>
      <c r="DNH534" s="69"/>
      <c r="DNI534" s="69"/>
      <c r="DNJ534" s="69"/>
      <c r="DNK534" s="69"/>
      <c r="DNL534" s="69"/>
      <c r="DNM534" s="69"/>
      <c r="DNN534" s="69"/>
      <c r="DNO534" s="69"/>
      <c r="DNP534" s="69"/>
      <c r="DNQ534" s="69"/>
      <c r="DNR534" s="69"/>
      <c r="DNS534" s="69"/>
      <c r="DNT534" s="69"/>
      <c r="DNU534" s="69"/>
      <c r="DNV534" s="69"/>
      <c r="DNW534" s="69"/>
      <c r="DNX534" s="69"/>
      <c r="DNY534" s="69"/>
      <c r="DNZ534" s="69"/>
      <c r="DOA534" s="69"/>
      <c r="DOB534" s="69"/>
      <c r="DOC534" s="69"/>
      <c r="DOD534" s="69"/>
      <c r="DOE534" s="69"/>
      <c r="DOF534" s="69"/>
      <c r="DOG534" s="69"/>
      <c r="DOH534" s="69"/>
      <c r="DOI534" s="69"/>
      <c r="DOJ534" s="69"/>
      <c r="DOK534" s="69"/>
      <c r="DOL534" s="69"/>
      <c r="DOM534" s="69"/>
      <c r="DON534" s="69"/>
      <c r="DOO534" s="69"/>
      <c r="DOP534" s="69"/>
      <c r="DOQ534" s="69"/>
      <c r="DOR534" s="69"/>
      <c r="DOS534" s="69"/>
      <c r="DOT534" s="69"/>
      <c r="DOU534" s="69"/>
      <c r="DOV534" s="69"/>
      <c r="DOW534" s="69"/>
      <c r="DOX534" s="69"/>
      <c r="DOY534" s="69"/>
      <c r="DOZ534" s="69"/>
      <c r="DPA534" s="69"/>
      <c r="DPB534" s="69"/>
      <c r="DPC534" s="69"/>
      <c r="DPD534" s="69"/>
      <c r="DPE534" s="69"/>
      <c r="DPF534" s="69"/>
      <c r="DPG534" s="69"/>
      <c r="DPH534" s="69"/>
      <c r="DPI534" s="69"/>
      <c r="DPJ534" s="69"/>
      <c r="DPK534" s="69"/>
      <c r="DPL534" s="69"/>
      <c r="DPM534" s="69"/>
      <c r="DPN534" s="69"/>
      <c r="DPO534" s="69"/>
      <c r="DPP534" s="69"/>
      <c r="DPQ534" s="69"/>
      <c r="DPR534" s="69"/>
      <c r="DPS534" s="69"/>
      <c r="DPT534" s="69"/>
      <c r="DPU534" s="69"/>
      <c r="DPV534" s="69"/>
      <c r="DPW534" s="69"/>
      <c r="DPX534" s="69"/>
      <c r="DPY534" s="69"/>
      <c r="DPZ534" s="69"/>
      <c r="DQA534" s="69"/>
      <c r="DQB534" s="69"/>
      <c r="DQC534" s="69"/>
      <c r="DQD534" s="69"/>
      <c r="DQE534" s="69"/>
      <c r="DQF534" s="69"/>
      <c r="DQG534" s="69"/>
      <c r="DQH534" s="69"/>
      <c r="DQI534" s="69"/>
      <c r="DQJ534" s="69"/>
      <c r="DQK534" s="69"/>
      <c r="DQL534" s="69"/>
      <c r="DQM534" s="69"/>
      <c r="DQN534" s="69"/>
      <c r="DQO534" s="69"/>
      <c r="DQP534" s="69"/>
      <c r="DQQ534" s="69"/>
      <c r="DQR534" s="69"/>
      <c r="DQS534" s="69"/>
      <c r="DQT534" s="69"/>
      <c r="DQU534" s="69"/>
      <c r="DQV534" s="69"/>
      <c r="DQW534" s="69"/>
      <c r="DQX534" s="69"/>
      <c r="DQY534" s="69"/>
      <c r="DQZ534" s="69"/>
      <c r="DRA534" s="69"/>
      <c r="DRB534" s="69"/>
      <c r="DRC534" s="69"/>
      <c r="DRD534" s="69"/>
      <c r="DRE534" s="69"/>
      <c r="DRF534" s="69"/>
      <c r="DRG534" s="69"/>
      <c r="DRH534" s="69"/>
      <c r="DRI534" s="69"/>
      <c r="DRJ534" s="69"/>
      <c r="DRK534" s="69"/>
      <c r="DRL534" s="69"/>
      <c r="DRM534" s="69"/>
      <c r="DRN534" s="69"/>
      <c r="DRO534" s="69"/>
      <c r="DRP534" s="69"/>
      <c r="DRQ534" s="69"/>
      <c r="DRR534" s="69"/>
      <c r="DRS534" s="69"/>
      <c r="DRT534" s="69"/>
      <c r="DRU534" s="69"/>
      <c r="DRV534" s="69"/>
      <c r="DRW534" s="69"/>
      <c r="DRX534" s="69"/>
      <c r="DRY534" s="69"/>
      <c r="DRZ534" s="69"/>
      <c r="DSA534" s="69"/>
      <c r="DSB534" s="69"/>
      <c r="DSC534" s="69"/>
      <c r="DSD534" s="69"/>
      <c r="DSE534" s="69"/>
      <c r="DSF534" s="69"/>
      <c r="DSG534" s="69"/>
      <c r="DSH534" s="69"/>
      <c r="DSI534" s="69"/>
      <c r="DSJ534" s="69"/>
      <c r="DSK534" s="69"/>
      <c r="DSL534" s="69"/>
      <c r="DSM534" s="69"/>
      <c r="DSN534" s="69"/>
      <c r="DSO534" s="69"/>
      <c r="DSP534" s="69"/>
      <c r="DSQ534" s="69"/>
      <c r="DSR534" s="69"/>
      <c r="DSS534" s="69"/>
      <c r="DST534" s="69"/>
      <c r="DSU534" s="69"/>
      <c r="DSV534" s="69"/>
      <c r="DSW534" s="69"/>
      <c r="DSX534" s="69"/>
      <c r="DSY534" s="69"/>
      <c r="DSZ534" s="69"/>
      <c r="DTA534" s="69"/>
      <c r="DTB534" s="69"/>
      <c r="DTC534" s="69"/>
      <c r="DTD534" s="69"/>
      <c r="DTE534" s="69"/>
      <c r="DTF534" s="69"/>
      <c r="DTG534" s="69"/>
      <c r="DTH534" s="69"/>
      <c r="DTI534" s="69"/>
      <c r="DTJ534" s="69"/>
      <c r="DTK534" s="69"/>
      <c r="DTL534" s="69"/>
      <c r="DTM534" s="69"/>
      <c r="DTN534" s="69"/>
      <c r="DTO534" s="69"/>
      <c r="DTP534" s="69"/>
      <c r="DTQ534" s="69"/>
      <c r="DTR534" s="69"/>
      <c r="DTS534" s="69"/>
      <c r="DTT534" s="69"/>
      <c r="DTU534" s="69"/>
      <c r="DTV534" s="69"/>
      <c r="DTW534" s="69"/>
      <c r="DTX534" s="69"/>
      <c r="DTY534" s="69"/>
      <c r="DTZ534" s="69"/>
      <c r="DUA534" s="69"/>
      <c r="DUB534" s="69"/>
      <c r="DUC534" s="69"/>
      <c r="DUD534" s="69"/>
      <c r="DUE534" s="69"/>
      <c r="DUF534" s="69"/>
      <c r="DUG534" s="69"/>
      <c r="DUH534" s="69"/>
      <c r="DUI534" s="69"/>
      <c r="DUJ534" s="69"/>
      <c r="DUK534" s="69"/>
      <c r="DUL534" s="69"/>
      <c r="DUM534" s="69"/>
      <c r="DUN534" s="69"/>
      <c r="DUO534" s="69"/>
      <c r="DUP534" s="69"/>
      <c r="DUQ534" s="69"/>
      <c r="DUR534" s="69"/>
      <c r="DUS534" s="69"/>
      <c r="DUT534" s="69"/>
      <c r="DUU534" s="69"/>
      <c r="DUV534" s="69"/>
      <c r="DUW534" s="69"/>
      <c r="DUX534" s="69"/>
      <c r="DUY534" s="69"/>
      <c r="DUZ534" s="69"/>
      <c r="DVA534" s="69"/>
      <c r="DVB534" s="69"/>
      <c r="DVC534" s="69"/>
      <c r="DVD534" s="69"/>
      <c r="DVE534" s="69"/>
      <c r="DVF534" s="69"/>
      <c r="DVG534" s="69"/>
      <c r="DVH534" s="69"/>
      <c r="DVI534" s="69"/>
      <c r="DVJ534" s="69"/>
      <c r="DVK534" s="69"/>
      <c r="DVL534" s="69"/>
      <c r="DVM534" s="69"/>
      <c r="DVN534" s="69"/>
      <c r="DVO534" s="69"/>
      <c r="DVP534" s="69"/>
      <c r="DVQ534" s="69"/>
      <c r="DVR534" s="69"/>
      <c r="DVS534" s="69"/>
      <c r="DVT534" s="69"/>
      <c r="DVU534" s="69"/>
      <c r="DVV534" s="69"/>
      <c r="DVW534" s="69"/>
      <c r="DVX534" s="69"/>
      <c r="DVY534" s="69"/>
      <c r="DVZ534" s="69"/>
      <c r="DWA534" s="69"/>
      <c r="DWB534" s="69"/>
      <c r="DWC534" s="69"/>
      <c r="DWD534" s="69"/>
      <c r="DWE534" s="69"/>
      <c r="DWF534" s="69"/>
      <c r="DWG534" s="69"/>
      <c r="DWH534" s="69"/>
      <c r="DWI534" s="69"/>
      <c r="DWJ534" s="69"/>
      <c r="DWK534" s="69"/>
      <c r="DWL534" s="69"/>
      <c r="DWM534" s="69"/>
      <c r="DWN534" s="69"/>
      <c r="DWO534" s="69"/>
      <c r="DWP534" s="69"/>
      <c r="DWQ534" s="69"/>
      <c r="DWR534" s="69"/>
      <c r="DWS534" s="69"/>
      <c r="DWT534" s="69"/>
      <c r="DWU534" s="69"/>
      <c r="DWV534" s="69"/>
      <c r="DWW534" s="69"/>
      <c r="DWX534" s="69"/>
      <c r="DWY534" s="69"/>
      <c r="DWZ534" s="69"/>
      <c r="DXA534" s="69"/>
      <c r="DXB534" s="69"/>
      <c r="DXC534" s="69"/>
      <c r="DXD534" s="69"/>
      <c r="DXE534" s="69"/>
      <c r="DXF534" s="69"/>
      <c r="DXG534" s="69"/>
      <c r="DXH534" s="69"/>
      <c r="DXI534" s="69"/>
      <c r="DXJ534" s="69"/>
      <c r="DXK534" s="69"/>
      <c r="DXL534" s="69"/>
      <c r="DXM534" s="69"/>
      <c r="DXN534" s="69"/>
      <c r="DXO534" s="69"/>
      <c r="DXP534" s="69"/>
      <c r="DXQ534" s="69"/>
      <c r="DXR534" s="69"/>
      <c r="DXS534" s="69"/>
      <c r="DXT534" s="69"/>
      <c r="DXU534" s="69"/>
      <c r="DXV534" s="69"/>
      <c r="DXW534" s="69"/>
      <c r="DXX534" s="69"/>
      <c r="DXY534" s="69"/>
      <c r="DXZ534" s="69"/>
      <c r="DYA534" s="69"/>
      <c r="DYB534" s="69"/>
      <c r="DYC534" s="69"/>
      <c r="DYD534" s="69"/>
      <c r="DYE534" s="69"/>
      <c r="DYF534" s="69"/>
      <c r="DYG534" s="69"/>
      <c r="DYH534" s="69"/>
      <c r="DYI534" s="69"/>
      <c r="DYJ534" s="69"/>
      <c r="DYK534" s="69"/>
      <c r="DYL534" s="69"/>
      <c r="DYM534" s="69"/>
      <c r="DYN534" s="69"/>
      <c r="DYO534" s="69"/>
      <c r="DYP534" s="69"/>
      <c r="DYQ534" s="69"/>
      <c r="DYR534" s="69"/>
      <c r="DYS534" s="69"/>
      <c r="DYT534" s="69"/>
      <c r="DYU534" s="69"/>
      <c r="DYV534" s="69"/>
      <c r="DYW534" s="69"/>
      <c r="DYX534" s="69"/>
      <c r="DYY534" s="69"/>
      <c r="DYZ534" s="69"/>
      <c r="DZA534" s="69"/>
      <c r="DZB534" s="69"/>
      <c r="DZC534" s="69"/>
      <c r="DZD534" s="69"/>
      <c r="DZE534" s="69"/>
      <c r="DZF534" s="69"/>
      <c r="DZG534" s="69"/>
      <c r="DZH534" s="69"/>
      <c r="DZI534" s="69"/>
      <c r="DZJ534" s="69"/>
      <c r="DZK534" s="69"/>
      <c r="DZL534" s="69"/>
      <c r="DZM534" s="69"/>
      <c r="DZN534" s="69"/>
      <c r="DZO534" s="69"/>
      <c r="DZP534" s="69"/>
      <c r="DZQ534" s="69"/>
      <c r="DZR534" s="69"/>
      <c r="DZS534" s="69"/>
      <c r="DZT534" s="69"/>
      <c r="DZU534" s="69"/>
      <c r="DZV534" s="69"/>
      <c r="DZW534" s="69"/>
      <c r="DZX534" s="69"/>
      <c r="DZY534" s="69"/>
      <c r="DZZ534" s="69"/>
      <c r="EAA534" s="69"/>
      <c r="EAB534" s="69"/>
      <c r="EAC534" s="69"/>
      <c r="EAD534" s="69"/>
      <c r="EAE534" s="69"/>
      <c r="EAF534" s="69"/>
      <c r="EAG534" s="69"/>
      <c r="EAH534" s="69"/>
      <c r="EAI534" s="69"/>
      <c r="EAJ534" s="69"/>
      <c r="EAK534" s="69"/>
      <c r="EAL534" s="69"/>
      <c r="EAM534" s="69"/>
      <c r="EAN534" s="69"/>
      <c r="EAO534" s="69"/>
      <c r="EAP534" s="69"/>
      <c r="EAQ534" s="69"/>
      <c r="EAR534" s="69"/>
      <c r="EAS534" s="69"/>
      <c r="EAT534" s="69"/>
      <c r="EAU534" s="69"/>
      <c r="EAV534" s="69"/>
      <c r="EAW534" s="69"/>
      <c r="EAX534" s="69"/>
      <c r="EAY534" s="69"/>
      <c r="EAZ534" s="69"/>
      <c r="EBA534" s="69"/>
      <c r="EBB534" s="69"/>
      <c r="EBC534" s="69"/>
      <c r="EBD534" s="69"/>
      <c r="EBE534" s="69"/>
      <c r="EBF534" s="69"/>
      <c r="EBG534" s="69"/>
      <c r="EBH534" s="69"/>
      <c r="EBI534" s="69"/>
      <c r="EBJ534" s="69"/>
      <c r="EBK534" s="69"/>
      <c r="EBL534" s="69"/>
      <c r="EBM534" s="69"/>
      <c r="EBN534" s="69"/>
      <c r="EBO534" s="69"/>
      <c r="EBP534" s="69"/>
      <c r="EBQ534" s="69"/>
      <c r="EBR534" s="69"/>
      <c r="EBS534" s="69"/>
      <c r="EBT534" s="69"/>
      <c r="EBU534" s="69"/>
      <c r="EBV534" s="69"/>
      <c r="EBW534" s="69"/>
      <c r="EBX534" s="69"/>
      <c r="EBY534" s="69"/>
      <c r="EBZ534" s="69"/>
      <c r="ECA534" s="69"/>
      <c r="ECB534" s="69"/>
      <c r="ECC534" s="69"/>
      <c r="ECD534" s="69"/>
      <c r="ECE534" s="69"/>
      <c r="ECF534" s="69"/>
      <c r="ECG534" s="69"/>
      <c r="ECH534" s="69"/>
      <c r="ECI534" s="69"/>
      <c r="ECJ534" s="69"/>
      <c r="ECK534" s="69"/>
      <c r="ECL534" s="69"/>
      <c r="ECM534" s="69"/>
      <c r="ECN534" s="69"/>
      <c r="ECO534" s="69"/>
      <c r="ECP534" s="69"/>
      <c r="ECQ534" s="69"/>
      <c r="ECR534" s="69"/>
      <c r="ECS534" s="69"/>
      <c r="ECT534" s="69"/>
      <c r="ECU534" s="69"/>
      <c r="ECV534" s="69"/>
      <c r="ECW534" s="69"/>
      <c r="ECX534" s="69"/>
      <c r="ECY534" s="69"/>
      <c r="ECZ534" s="69"/>
      <c r="EDA534" s="69"/>
      <c r="EDB534" s="69"/>
      <c r="EDC534" s="69"/>
      <c r="EDD534" s="69"/>
      <c r="EDE534" s="69"/>
      <c r="EDF534" s="69"/>
      <c r="EDG534" s="69"/>
      <c r="EDH534" s="69"/>
      <c r="EDI534" s="69"/>
      <c r="EDJ534" s="69"/>
      <c r="EDK534" s="69"/>
      <c r="EDL534" s="69"/>
      <c r="EDM534" s="69"/>
      <c r="EDN534" s="69"/>
      <c r="EDO534" s="69"/>
      <c r="EDP534" s="69"/>
      <c r="EDQ534" s="69"/>
      <c r="EDR534" s="69"/>
      <c r="EDS534" s="69"/>
      <c r="EDT534" s="69"/>
      <c r="EDU534" s="69"/>
      <c r="EDV534" s="69"/>
      <c r="EDW534" s="69"/>
      <c r="EDX534" s="69"/>
      <c r="EDY534" s="69"/>
      <c r="EDZ534" s="69"/>
      <c r="EEA534" s="69"/>
      <c r="EEB534" s="69"/>
      <c r="EEC534" s="69"/>
      <c r="EED534" s="69"/>
      <c r="EEE534" s="69"/>
      <c r="EEF534" s="69"/>
      <c r="EEG534" s="69"/>
      <c r="EEH534" s="69"/>
      <c r="EEI534" s="69"/>
      <c r="EEJ534" s="69"/>
      <c r="EEK534" s="69"/>
      <c r="EEL534" s="69"/>
      <c r="EEM534" s="69"/>
      <c r="EEN534" s="69"/>
      <c r="EEO534" s="69"/>
      <c r="EEP534" s="69"/>
      <c r="EEQ534" s="69"/>
      <c r="EER534" s="69"/>
      <c r="EES534" s="69"/>
      <c r="EET534" s="69"/>
      <c r="EEU534" s="69"/>
      <c r="EEV534" s="69"/>
      <c r="EEW534" s="69"/>
      <c r="EEX534" s="69"/>
      <c r="EEY534" s="69"/>
      <c r="EEZ534" s="69"/>
      <c r="EFA534" s="69"/>
      <c r="EFB534" s="69"/>
      <c r="EFC534" s="69"/>
      <c r="EFD534" s="69"/>
      <c r="EFE534" s="69"/>
      <c r="EFF534" s="69"/>
      <c r="EFG534" s="69"/>
      <c r="EFH534" s="69"/>
      <c r="EFI534" s="69"/>
      <c r="EFJ534" s="69"/>
      <c r="EFK534" s="69"/>
      <c r="EFL534" s="69"/>
      <c r="EFM534" s="69"/>
      <c r="EFN534" s="69"/>
      <c r="EFO534" s="69"/>
      <c r="EFP534" s="69"/>
      <c r="EFQ534" s="69"/>
      <c r="EFR534" s="69"/>
      <c r="EFS534" s="69"/>
      <c r="EFT534" s="69"/>
      <c r="EFU534" s="69"/>
      <c r="EFV534" s="69"/>
      <c r="EFW534" s="69"/>
      <c r="EFX534" s="69"/>
      <c r="EFY534" s="69"/>
      <c r="EFZ534" s="69"/>
      <c r="EGA534" s="69"/>
      <c r="EGB534" s="69"/>
      <c r="EGC534" s="69"/>
      <c r="EGD534" s="69"/>
      <c r="EGE534" s="69"/>
      <c r="EGF534" s="69"/>
      <c r="EGG534" s="69"/>
      <c r="EGH534" s="69"/>
      <c r="EGI534" s="69"/>
      <c r="EGJ534" s="69"/>
      <c r="EGK534" s="69"/>
      <c r="EGL534" s="69"/>
      <c r="EGM534" s="69"/>
      <c r="EGN534" s="69"/>
      <c r="EGO534" s="69"/>
      <c r="EGP534" s="69"/>
      <c r="EGQ534" s="69"/>
      <c r="EGR534" s="69"/>
      <c r="EGS534" s="69"/>
      <c r="EGT534" s="69"/>
      <c r="EGU534" s="69"/>
      <c r="EGV534" s="69"/>
      <c r="EGW534" s="69"/>
      <c r="EGX534" s="69"/>
      <c r="EGY534" s="69"/>
      <c r="EGZ534" s="69"/>
      <c r="EHA534" s="69"/>
      <c r="EHB534" s="69"/>
      <c r="EHC534" s="69"/>
      <c r="EHD534" s="69"/>
      <c r="EHE534" s="69"/>
      <c r="EHF534" s="69"/>
      <c r="EHG534" s="69"/>
      <c r="EHH534" s="69"/>
      <c r="EHI534" s="69"/>
      <c r="EHJ534" s="69"/>
      <c r="EHK534" s="69"/>
      <c r="EHL534" s="69"/>
      <c r="EHM534" s="69"/>
      <c r="EHN534" s="69"/>
      <c r="EHO534" s="69"/>
      <c r="EHP534" s="69"/>
      <c r="EHQ534" s="69"/>
      <c r="EHR534" s="69"/>
      <c r="EHS534" s="69"/>
      <c r="EHT534" s="69"/>
      <c r="EHU534" s="69"/>
      <c r="EHV534" s="69"/>
      <c r="EHW534" s="69"/>
      <c r="EHX534" s="69"/>
      <c r="EHY534" s="69"/>
      <c r="EHZ534" s="69"/>
      <c r="EIA534" s="69"/>
      <c r="EIB534" s="69"/>
      <c r="EIC534" s="69"/>
      <c r="EID534" s="69"/>
      <c r="EIE534" s="69"/>
      <c r="EIF534" s="69"/>
      <c r="EIG534" s="69"/>
      <c r="EIH534" s="69"/>
      <c r="EII534" s="69"/>
      <c r="EIJ534" s="69"/>
      <c r="EIK534" s="69"/>
      <c r="EIL534" s="69"/>
      <c r="EIM534" s="69"/>
      <c r="EIN534" s="69"/>
      <c r="EIO534" s="69"/>
      <c r="EIP534" s="69"/>
      <c r="EIQ534" s="69"/>
      <c r="EIR534" s="69"/>
      <c r="EIS534" s="69"/>
      <c r="EIT534" s="69"/>
      <c r="EIU534" s="69"/>
      <c r="EIV534" s="69"/>
      <c r="EIW534" s="69"/>
      <c r="EIX534" s="69"/>
      <c r="EIY534" s="69"/>
      <c r="EIZ534" s="69"/>
      <c r="EJA534" s="69"/>
      <c r="EJB534" s="69"/>
      <c r="EJC534" s="69"/>
      <c r="EJD534" s="69"/>
      <c r="EJE534" s="69"/>
      <c r="EJF534" s="69"/>
      <c r="EJG534" s="69"/>
      <c r="EJH534" s="69"/>
      <c r="EJI534" s="69"/>
      <c r="EJJ534" s="69"/>
      <c r="EJK534" s="69"/>
      <c r="EJL534" s="69"/>
      <c r="EJM534" s="69"/>
      <c r="EJN534" s="69"/>
      <c r="EJO534" s="69"/>
      <c r="EJP534" s="69"/>
      <c r="EJQ534" s="69"/>
      <c r="EJR534" s="69"/>
      <c r="EJS534" s="69"/>
      <c r="EJT534" s="69"/>
      <c r="EJU534" s="69"/>
      <c r="EJV534" s="69"/>
      <c r="EJW534" s="69"/>
      <c r="EJX534" s="69"/>
      <c r="EJY534" s="69"/>
      <c r="EJZ534" s="69"/>
      <c r="EKA534" s="69"/>
      <c r="EKB534" s="69"/>
      <c r="EKC534" s="69"/>
      <c r="EKD534" s="69"/>
      <c r="EKE534" s="69"/>
      <c r="EKF534" s="69"/>
      <c r="EKG534" s="69"/>
      <c r="EKH534" s="69"/>
      <c r="EKI534" s="69"/>
      <c r="EKJ534" s="69"/>
      <c r="EKK534" s="69"/>
      <c r="EKL534" s="69"/>
      <c r="EKM534" s="69"/>
      <c r="EKN534" s="69"/>
      <c r="EKO534" s="69"/>
      <c r="EKP534" s="69"/>
      <c r="EKQ534" s="69"/>
      <c r="EKR534" s="69"/>
      <c r="EKS534" s="69"/>
      <c r="EKT534" s="69"/>
      <c r="EKU534" s="69"/>
      <c r="EKV534" s="69"/>
      <c r="EKW534" s="69"/>
      <c r="EKX534" s="69"/>
      <c r="EKY534" s="69"/>
      <c r="EKZ534" s="69"/>
      <c r="ELA534" s="69"/>
      <c r="ELB534" s="69"/>
      <c r="ELC534" s="69"/>
      <c r="ELD534" s="69"/>
      <c r="ELE534" s="69"/>
      <c r="ELF534" s="69"/>
      <c r="ELG534" s="69"/>
      <c r="ELH534" s="69"/>
      <c r="ELI534" s="69"/>
      <c r="ELJ534" s="69"/>
      <c r="ELK534" s="69"/>
      <c r="ELL534" s="69"/>
      <c r="ELM534" s="69"/>
      <c r="ELN534" s="69"/>
      <c r="ELO534" s="69"/>
      <c r="ELP534" s="69"/>
      <c r="ELQ534" s="69"/>
      <c r="ELR534" s="69"/>
      <c r="ELS534" s="69"/>
      <c r="ELT534" s="69"/>
      <c r="ELU534" s="69"/>
      <c r="ELV534" s="69"/>
      <c r="ELW534" s="69"/>
      <c r="ELX534" s="69"/>
      <c r="ELY534" s="69"/>
      <c r="ELZ534" s="69"/>
      <c r="EMA534" s="69"/>
      <c r="EMB534" s="69"/>
      <c r="EMC534" s="69"/>
      <c r="EMD534" s="69"/>
      <c r="EME534" s="69"/>
      <c r="EMF534" s="69"/>
      <c r="EMG534" s="69"/>
      <c r="EMH534" s="69"/>
      <c r="EMI534" s="69"/>
      <c r="EMJ534" s="69"/>
      <c r="EMK534" s="69"/>
      <c r="EML534" s="69"/>
      <c r="EMM534" s="69"/>
      <c r="EMN534" s="69"/>
      <c r="EMO534" s="69"/>
      <c r="EMP534" s="69"/>
      <c r="EMQ534" s="69"/>
      <c r="EMR534" s="69"/>
      <c r="EMS534" s="69"/>
      <c r="EMT534" s="69"/>
      <c r="EMU534" s="69"/>
      <c r="EMV534" s="69"/>
      <c r="EMW534" s="69"/>
      <c r="EMX534" s="69"/>
      <c r="EMY534" s="69"/>
      <c r="EMZ534" s="69"/>
      <c r="ENA534" s="69"/>
      <c r="ENB534" s="69"/>
      <c r="ENC534" s="69"/>
      <c r="END534" s="69"/>
      <c r="ENE534" s="69"/>
      <c r="ENF534" s="69"/>
      <c r="ENG534" s="69"/>
      <c r="ENH534" s="69"/>
      <c r="ENI534" s="69"/>
      <c r="ENJ534" s="69"/>
      <c r="ENK534" s="69"/>
      <c r="ENL534" s="69"/>
      <c r="ENM534" s="69"/>
      <c r="ENN534" s="69"/>
      <c r="ENO534" s="69"/>
      <c r="ENP534" s="69"/>
      <c r="ENQ534" s="69"/>
      <c r="ENR534" s="69"/>
      <c r="ENS534" s="69"/>
      <c r="ENT534" s="69"/>
      <c r="ENU534" s="69"/>
      <c r="ENV534" s="69"/>
      <c r="ENW534" s="69"/>
      <c r="ENX534" s="69"/>
      <c r="ENY534" s="69"/>
      <c r="ENZ534" s="69"/>
      <c r="EOA534" s="69"/>
      <c r="EOB534" s="69"/>
      <c r="EOC534" s="69"/>
      <c r="EOD534" s="69"/>
      <c r="EOE534" s="69"/>
      <c r="EOF534" s="69"/>
      <c r="EOG534" s="69"/>
      <c r="EOH534" s="69"/>
      <c r="EOI534" s="69"/>
      <c r="EOJ534" s="69"/>
      <c r="EOK534" s="69"/>
      <c r="EOL534" s="69"/>
      <c r="EOM534" s="69"/>
      <c r="EON534" s="69"/>
      <c r="EOO534" s="69"/>
      <c r="EOP534" s="69"/>
      <c r="EOQ534" s="69"/>
      <c r="EOR534" s="69"/>
      <c r="EOS534" s="69"/>
      <c r="EOT534" s="69"/>
      <c r="EOU534" s="69"/>
      <c r="EOV534" s="69"/>
      <c r="EOW534" s="69"/>
      <c r="EOX534" s="69"/>
      <c r="EOY534" s="69"/>
      <c r="EOZ534" s="69"/>
      <c r="EPA534" s="69"/>
      <c r="EPB534" s="69"/>
      <c r="EPC534" s="69"/>
      <c r="EPD534" s="69"/>
      <c r="EPE534" s="69"/>
      <c r="EPF534" s="69"/>
      <c r="EPG534" s="69"/>
      <c r="EPH534" s="69"/>
      <c r="EPI534" s="69"/>
      <c r="EPJ534" s="69"/>
      <c r="EPK534" s="69"/>
      <c r="EPL534" s="69"/>
      <c r="EPM534" s="69"/>
      <c r="EPN534" s="69"/>
      <c r="EPO534" s="69"/>
      <c r="EPP534" s="69"/>
      <c r="EPQ534" s="69"/>
      <c r="EPR534" s="69"/>
      <c r="EPS534" s="69"/>
      <c r="EPT534" s="69"/>
      <c r="EPU534" s="69"/>
      <c r="EPV534" s="69"/>
      <c r="EPW534" s="69"/>
      <c r="EPX534" s="69"/>
      <c r="EPY534" s="69"/>
      <c r="EPZ534" s="69"/>
      <c r="EQA534" s="69"/>
      <c r="EQB534" s="69"/>
      <c r="EQC534" s="69"/>
      <c r="EQD534" s="69"/>
      <c r="EQE534" s="69"/>
      <c r="EQF534" s="69"/>
      <c r="EQG534" s="69"/>
      <c r="EQH534" s="69"/>
      <c r="EQI534" s="69"/>
      <c r="EQJ534" s="69"/>
      <c r="EQK534" s="69"/>
      <c r="EQL534" s="69"/>
      <c r="EQM534" s="69"/>
      <c r="EQN534" s="69"/>
      <c r="EQO534" s="69"/>
      <c r="EQP534" s="69"/>
      <c r="EQQ534" s="69"/>
      <c r="EQR534" s="69"/>
      <c r="EQS534" s="69"/>
      <c r="EQT534" s="69"/>
      <c r="EQU534" s="69"/>
      <c r="EQV534" s="69"/>
      <c r="EQW534" s="69"/>
      <c r="EQX534" s="69"/>
      <c r="EQY534" s="69"/>
      <c r="EQZ534" s="69"/>
      <c r="ERA534" s="69"/>
      <c r="ERB534" s="69"/>
      <c r="ERC534" s="69"/>
      <c r="ERD534" s="69"/>
      <c r="ERE534" s="69"/>
      <c r="ERF534" s="69"/>
      <c r="ERG534" s="69"/>
      <c r="ERH534" s="69"/>
      <c r="ERI534" s="69"/>
      <c r="ERJ534" s="69"/>
      <c r="ERK534" s="69"/>
      <c r="ERL534" s="69"/>
      <c r="ERM534" s="69"/>
      <c r="ERN534" s="69"/>
      <c r="ERO534" s="69"/>
      <c r="ERP534" s="69"/>
      <c r="ERQ534" s="69"/>
      <c r="ERR534" s="69"/>
      <c r="ERS534" s="69"/>
      <c r="ERT534" s="69"/>
      <c r="ERU534" s="69"/>
      <c r="ERV534" s="69"/>
      <c r="ERW534" s="69"/>
      <c r="ERX534" s="69"/>
      <c r="ERY534" s="69"/>
      <c r="ERZ534" s="69"/>
      <c r="ESA534" s="69"/>
      <c r="ESB534" s="69"/>
      <c r="ESC534" s="69"/>
      <c r="ESD534" s="69"/>
      <c r="ESE534" s="69"/>
      <c r="ESF534" s="69"/>
      <c r="ESG534" s="69"/>
      <c r="ESH534" s="69"/>
      <c r="ESI534" s="69"/>
      <c r="ESJ534" s="69"/>
      <c r="ESK534" s="69"/>
      <c r="ESL534" s="69"/>
      <c r="ESM534" s="69"/>
      <c r="ESN534" s="69"/>
      <c r="ESO534" s="69"/>
      <c r="ESP534" s="69"/>
      <c r="ESQ534" s="69"/>
      <c r="ESR534" s="69"/>
      <c r="ESS534" s="69"/>
      <c r="EST534" s="69"/>
      <c r="ESU534" s="69"/>
      <c r="ESV534" s="69"/>
      <c r="ESW534" s="69"/>
      <c r="ESX534" s="69"/>
      <c r="ESY534" s="69"/>
      <c r="ESZ534" s="69"/>
      <c r="ETA534" s="69"/>
      <c r="ETB534" s="69"/>
      <c r="ETC534" s="69"/>
      <c r="ETD534" s="69"/>
      <c r="ETE534" s="69"/>
      <c r="ETF534" s="69"/>
      <c r="ETG534" s="69"/>
      <c r="ETH534" s="69"/>
      <c r="ETI534" s="69"/>
      <c r="ETJ534" s="69"/>
      <c r="ETK534" s="69"/>
      <c r="ETL534" s="69"/>
      <c r="ETM534" s="69"/>
      <c r="ETN534" s="69"/>
      <c r="ETO534" s="69"/>
      <c r="ETP534" s="69"/>
      <c r="ETQ534" s="69"/>
      <c r="ETR534" s="69"/>
      <c r="ETS534" s="69"/>
      <c r="ETT534" s="69"/>
      <c r="ETU534" s="69"/>
      <c r="ETV534" s="69"/>
      <c r="ETW534" s="69"/>
      <c r="ETX534" s="69"/>
      <c r="ETY534" s="69"/>
      <c r="ETZ534" s="69"/>
      <c r="EUA534" s="69"/>
      <c r="EUB534" s="69"/>
      <c r="EUC534" s="69"/>
      <c r="EUD534" s="69"/>
      <c r="EUE534" s="69"/>
      <c r="EUF534" s="69"/>
      <c r="EUG534" s="69"/>
      <c r="EUH534" s="69"/>
      <c r="EUI534" s="69"/>
      <c r="EUJ534" s="69"/>
      <c r="EUK534" s="69"/>
      <c r="EUL534" s="69"/>
      <c r="EUM534" s="69"/>
      <c r="EUN534" s="69"/>
      <c r="EUO534" s="69"/>
      <c r="EUP534" s="69"/>
      <c r="EUQ534" s="69"/>
      <c r="EUR534" s="69"/>
      <c r="EUS534" s="69"/>
      <c r="EUT534" s="69"/>
      <c r="EUU534" s="69"/>
      <c r="EUV534" s="69"/>
      <c r="EUW534" s="69"/>
      <c r="EUX534" s="69"/>
      <c r="EUY534" s="69"/>
      <c r="EUZ534" s="69"/>
      <c r="EVA534" s="69"/>
      <c r="EVB534" s="69"/>
      <c r="EVC534" s="69"/>
      <c r="EVD534" s="69"/>
      <c r="EVE534" s="69"/>
      <c r="EVF534" s="69"/>
      <c r="EVG534" s="69"/>
      <c r="EVH534" s="69"/>
      <c r="EVI534" s="69"/>
      <c r="EVJ534" s="69"/>
      <c r="EVK534" s="69"/>
      <c r="EVL534" s="69"/>
      <c r="EVM534" s="69"/>
      <c r="EVN534" s="69"/>
      <c r="EVO534" s="69"/>
      <c r="EVP534" s="69"/>
      <c r="EVQ534" s="69"/>
      <c r="EVR534" s="69"/>
      <c r="EVS534" s="69"/>
      <c r="EVT534" s="69"/>
      <c r="EVU534" s="69"/>
      <c r="EVV534" s="69"/>
      <c r="EVW534" s="69"/>
      <c r="EVX534" s="69"/>
      <c r="EVY534" s="69"/>
      <c r="EVZ534" s="69"/>
      <c r="EWA534" s="69"/>
      <c r="EWB534" s="69"/>
      <c r="EWC534" s="69"/>
      <c r="EWD534" s="69"/>
      <c r="EWE534" s="69"/>
      <c r="EWF534" s="69"/>
      <c r="EWG534" s="69"/>
      <c r="EWH534" s="69"/>
      <c r="EWI534" s="69"/>
      <c r="EWJ534" s="69"/>
      <c r="EWK534" s="69"/>
      <c r="EWL534" s="69"/>
      <c r="EWM534" s="69"/>
      <c r="EWN534" s="69"/>
      <c r="EWO534" s="69"/>
      <c r="EWP534" s="69"/>
      <c r="EWQ534" s="69"/>
      <c r="EWR534" s="69"/>
      <c r="EWS534" s="69"/>
      <c r="EWT534" s="69"/>
      <c r="EWU534" s="69"/>
      <c r="EWV534" s="69"/>
      <c r="EWW534" s="69"/>
      <c r="EWX534" s="69"/>
      <c r="EWY534" s="69"/>
      <c r="EWZ534" s="69"/>
      <c r="EXA534" s="69"/>
      <c r="EXB534" s="69"/>
      <c r="EXC534" s="69"/>
      <c r="EXD534" s="69"/>
      <c r="EXE534" s="69"/>
      <c r="EXF534" s="69"/>
      <c r="EXG534" s="69"/>
      <c r="EXH534" s="69"/>
      <c r="EXI534" s="69"/>
      <c r="EXJ534" s="69"/>
      <c r="EXK534" s="69"/>
      <c r="EXL534" s="69"/>
      <c r="EXM534" s="69"/>
      <c r="EXN534" s="69"/>
      <c r="EXO534" s="69"/>
      <c r="EXP534" s="69"/>
      <c r="EXQ534" s="69"/>
      <c r="EXR534" s="69"/>
      <c r="EXS534" s="69"/>
      <c r="EXT534" s="69"/>
      <c r="EXU534" s="69"/>
      <c r="EXV534" s="69"/>
      <c r="EXW534" s="69"/>
      <c r="EXX534" s="69"/>
      <c r="EXY534" s="69"/>
      <c r="EXZ534" s="69"/>
      <c r="EYA534" s="69"/>
      <c r="EYB534" s="69"/>
      <c r="EYC534" s="69"/>
      <c r="EYD534" s="69"/>
      <c r="EYE534" s="69"/>
      <c r="EYF534" s="69"/>
      <c r="EYG534" s="69"/>
      <c r="EYH534" s="69"/>
      <c r="EYI534" s="69"/>
      <c r="EYJ534" s="69"/>
      <c r="EYK534" s="69"/>
      <c r="EYL534" s="69"/>
      <c r="EYM534" s="69"/>
      <c r="EYN534" s="69"/>
      <c r="EYO534" s="69"/>
      <c r="EYP534" s="69"/>
      <c r="EYQ534" s="69"/>
      <c r="EYR534" s="69"/>
      <c r="EYS534" s="69"/>
      <c r="EYT534" s="69"/>
      <c r="EYU534" s="69"/>
      <c r="EYV534" s="69"/>
      <c r="EYW534" s="69"/>
      <c r="EYX534" s="69"/>
      <c r="EYY534" s="69"/>
      <c r="EYZ534" s="69"/>
      <c r="EZA534" s="69"/>
      <c r="EZB534" s="69"/>
      <c r="EZC534" s="69"/>
      <c r="EZD534" s="69"/>
      <c r="EZE534" s="69"/>
      <c r="EZF534" s="69"/>
      <c r="EZG534" s="69"/>
      <c r="EZH534" s="69"/>
      <c r="EZI534" s="69"/>
      <c r="EZJ534" s="69"/>
      <c r="EZK534" s="69"/>
      <c r="EZL534" s="69"/>
      <c r="EZM534" s="69"/>
      <c r="EZN534" s="69"/>
      <c r="EZO534" s="69"/>
      <c r="EZP534" s="69"/>
      <c r="EZQ534" s="69"/>
      <c r="EZR534" s="69"/>
      <c r="EZS534" s="69"/>
      <c r="EZT534" s="69"/>
      <c r="EZU534" s="69"/>
      <c r="EZV534" s="69"/>
      <c r="EZW534" s="69"/>
      <c r="EZX534" s="69"/>
      <c r="EZY534" s="69"/>
      <c r="EZZ534" s="69"/>
      <c r="FAA534" s="69"/>
      <c r="FAB534" s="69"/>
      <c r="FAC534" s="69"/>
      <c r="FAD534" s="69"/>
      <c r="FAE534" s="69"/>
      <c r="FAF534" s="69"/>
      <c r="FAG534" s="69"/>
      <c r="FAH534" s="69"/>
      <c r="FAI534" s="69"/>
      <c r="FAJ534" s="69"/>
      <c r="FAK534" s="69"/>
      <c r="FAL534" s="69"/>
      <c r="FAM534" s="69"/>
      <c r="FAN534" s="69"/>
      <c r="FAO534" s="69"/>
      <c r="FAP534" s="69"/>
      <c r="FAQ534" s="69"/>
      <c r="FAR534" s="69"/>
      <c r="FAS534" s="69"/>
      <c r="FAT534" s="69"/>
      <c r="FAU534" s="69"/>
      <c r="FAV534" s="69"/>
      <c r="FAW534" s="69"/>
      <c r="FAX534" s="69"/>
      <c r="FAY534" s="69"/>
      <c r="FAZ534" s="69"/>
      <c r="FBA534" s="69"/>
      <c r="FBB534" s="69"/>
      <c r="FBC534" s="69"/>
      <c r="FBD534" s="69"/>
      <c r="FBE534" s="69"/>
      <c r="FBF534" s="69"/>
      <c r="FBG534" s="69"/>
      <c r="FBH534" s="69"/>
      <c r="FBI534" s="69"/>
      <c r="FBJ534" s="69"/>
      <c r="FBK534" s="69"/>
      <c r="FBL534" s="69"/>
      <c r="FBM534" s="69"/>
      <c r="FBN534" s="69"/>
      <c r="FBO534" s="69"/>
      <c r="FBP534" s="69"/>
      <c r="FBQ534" s="69"/>
      <c r="FBR534" s="69"/>
      <c r="FBS534" s="69"/>
      <c r="FBT534" s="69"/>
      <c r="FBU534" s="69"/>
      <c r="FBV534" s="69"/>
      <c r="FBW534" s="69"/>
      <c r="FBX534" s="69"/>
      <c r="FBY534" s="69"/>
      <c r="FBZ534" s="69"/>
      <c r="FCA534" s="69"/>
      <c r="FCB534" s="69"/>
      <c r="FCC534" s="69"/>
      <c r="FCD534" s="69"/>
      <c r="FCE534" s="69"/>
      <c r="FCF534" s="69"/>
      <c r="FCG534" s="69"/>
      <c r="FCH534" s="69"/>
      <c r="FCI534" s="69"/>
      <c r="FCJ534" s="69"/>
      <c r="FCK534" s="69"/>
      <c r="FCL534" s="69"/>
      <c r="FCM534" s="69"/>
      <c r="FCN534" s="69"/>
      <c r="FCO534" s="69"/>
      <c r="FCP534" s="69"/>
      <c r="FCQ534" s="69"/>
      <c r="FCR534" s="69"/>
      <c r="FCS534" s="69"/>
      <c r="FCT534" s="69"/>
      <c r="FCU534" s="69"/>
      <c r="FCV534" s="69"/>
      <c r="FCW534" s="69"/>
      <c r="FCX534" s="69"/>
      <c r="FCY534" s="69"/>
      <c r="FCZ534" s="69"/>
      <c r="FDA534" s="69"/>
      <c r="FDB534" s="69"/>
      <c r="FDC534" s="69"/>
      <c r="FDD534" s="69"/>
      <c r="FDE534" s="69"/>
      <c r="FDF534" s="69"/>
      <c r="FDG534" s="69"/>
      <c r="FDH534" s="69"/>
      <c r="FDI534" s="69"/>
      <c r="FDJ534" s="69"/>
      <c r="FDK534" s="69"/>
      <c r="FDL534" s="69"/>
      <c r="FDM534" s="69"/>
      <c r="FDN534" s="69"/>
      <c r="FDO534" s="69"/>
      <c r="FDP534" s="69"/>
      <c r="FDQ534" s="69"/>
      <c r="FDR534" s="69"/>
      <c r="FDS534" s="69"/>
      <c r="FDT534" s="69"/>
      <c r="FDU534" s="69"/>
      <c r="FDV534" s="69"/>
      <c r="FDW534" s="69"/>
      <c r="FDX534" s="69"/>
      <c r="FDY534" s="69"/>
      <c r="FDZ534" s="69"/>
      <c r="FEA534" s="69"/>
      <c r="FEB534" s="69"/>
      <c r="FEC534" s="69"/>
      <c r="FED534" s="69"/>
      <c r="FEE534" s="69"/>
      <c r="FEF534" s="69"/>
      <c r="FEG534" s="69"/>
      <c r="FEH534" s="69"/>
      <c r="FEI534" s="69"/>
      <c r="FEJ534" s="69"/>
      <c r="FEK534" s="69"/>
      <c r="FEL534" s="69"/>
      <c r="FEM534" s="69"/>
      <c r="FEN534" s="69"/>
      <c r="FEO534" s="69"/>
      <c r="FEP534" s="69"/>
      <c r="FEQ534" s="69"/>
      <c r="FER534" s="69"/>
      <c r="FES534" s="69"/>
      <c r="FET534" s="69"/>
      <c r="FEU534" s="69"/>
      <c r="FEV534" s="69"/>
      <c r="FEW534" s="69"/>
      <c r="FEX534" s="69"/>
      <c r="FEY534" s="69"/>
      <c r="FEZ534" s="69"/>
      <c r="FFA534" s="69"/>
      <c r="FFB534" s="69"/>
      <c r="FFC534" s="69"/>
      <c r="FFD534" s="69"/>
      <c r="FFE534" s="69"/>
      <c r="FFF534" s="69"/>
      <c r="FFG534" s="69"/>
      <c r="FFH534" s="69"/>
      <c r="FFI534" s="69"/>
      <c r="FFJ534" s="69"/>
      <c r="FFK534" s="69"/>
      <c r="FFL534" s="69"/>
      <c r="FFM534" s="69"/>
      <c r="FFN534" s="69"/>
      <c r="FFO534" s="69"/>
      <c r="FFP534" s="69"/>
      <c r="FFQ534" s="69"/>
      <c r="FFR534" s="69"/>
      <c r="FFS534" s="69"/>
      <c r="FFT534" s="69"/>
      <c r="FFU534" s="69"/>
      <c r="FFV534" s="69"/>
      <c r="FFW534" s="69"/>
      <c r="FFX534" s="69"/>
      <c r="FFY534" s="69"/>
      <c r="FFZ534" s="69"/>
      <c r="FGA534" s="69"/>
      <c r="FGB534" s="69"/>
      <c r="FGC534" s="69"/>
      <c r="FGD534" s="69"/>
      <c r="FGE534" s="69"/>
      <c r="FGF534" s="69"/>
      <c r="FGG534" s="69"/>
      <c r="FGH534" s="69"/>
      <c r="FGI534" s="69"/>
      <c r="FGJ534" s="69"/>
      <c r="FGK534" s="69"/>
      <c r="FGL534" s="69"/>
      <c r="FGM534" s="69"/>
      <c r="FGN534" s="69"/>
      <c r="FGO534" s="69"/>
      <c r="FGP534" s="69"/>
      <c r="FGQ534" s="69"/>
      <c r="FGR534" s="69"/>
      <c r="FGS534" s="69"/>
      <c r="FGT534" s="69"/>
      <c r="FGU534" s="69"/>
      <c r="FGV534" s="69"/>
      <c r="FGW534" s="69"/>
      <c r="FGX534" s="69"/>
      <c r="FGY534" s="69"/>
      <c r="FGZ534" s="69"/>
      <c r="FHA534" s="69"/>
      <c r="FHB534" s="69"/>
      <c r="FHC534" s="69"/>
      <c r="FHD534" s="69"/>
      <c r="FHE534" s="69"/>
      <c r="FHF534" s="69"/>
      <c r="FHG534" s="69"/>
      <c r="FHH534" s="69"/>
      <c r="FHI534" s="69"/>
      <c r="FHJ534" s="69"/>
      <c r="FHK534" s="69"/>
      <c r="FHL534" s="69"/>
      <c r="FHM534" s="69"/>
      <c r="FHN534" s="69"/>
      <c r="FHO534" s="69"/>
      <c r="FHP534" s="69"/>
      <c r="FHQ534" s="69"/>
      <c r="FHR534" s="69"/>
      <c r="FHS534" s="69"/>
      <c r="FHT534" s="69"/>
      <c r="FHU534" s="69"/>
      <c r="FHV534" s="69"/>
      <c r="FHW534" s="69"/>
      <c r="FHX534" s="69"/>
      <c r="FHY534" s="69"/>
      <c r="FHZ534" s="69"/>
      <c r="FIA534" s="69"/>
      <c r="FIB534" s="69"/>
      <c r="FIC534" s="69"/>
      <c r="FID534" s="69"/>
      <c r="FIE534" s="69"/>
      <c r="FIF534" s="69"/>
      <c r="FIG534" s="69"/>
      <c r="FIH534" s="69"/>
      <c r="FII534" s="69"/>
      <c r="FIJ534" s="69"/>
      <c r="FIK534" s="69"/>
      <c r="FIL534" s="69"/>
      <c r="FIM534" s="69"/>
      <c r="FIN534" s="69"/>
      <c r="FIO534" s="69"/>
      <c r="FIP534" s="69"/>
      <c r="FIQ534" s="69"/>
      <c r="FIR534" s="69"/>
      <c r="FIS534" s="69"/>
      <c r="FIT534" s="69"/>
      <c r="FIU534" s="69"/>
      <c r="FIV534" s="69"/>
      <c r="FIW534" s="69"/>
      <c r="FIX534" s="69"/>
      <c r="FIY534" s="69"/>
      <c r="FIZ534" s="69"/>
      <c r="FJA534" s="69"/>
      <c r="FJB534" s="69"/>
      <c r="FJC534" s="69"/>
      <c r="FJD534" s="69"/>
      <c r="FJE534" s="69"/>
      <c r="FJF534" s="69"/>
      <c r="FJG534" s="69"/>
      <c r="FJH534" s="69"/>
      <c r="FJI534" s="69"/>
      <c r="FJJ534" s="69"/>
      <c r="FJK534" s="69"/>
      <c r="FJL534" s="69"/>
      <c r="FJM534" s="69"/>
      <c r="FJN534" s="69"/>
      <c r="FJO534" s="69"/>
      <c r="FJP534" s="69"/>
      <c r="FJQ534" s="69"/>
      <c r="FJR534" s="69"/>
      <c r="FJS534" s="69"/>
      <c r="FJT534" s="69"/>
      <c r="FJU534" s="69"/>
      <c r="FJV534" s="69"/>
      <c r="FJW534" s="69"/>
      <c r="FJX534" s="69"/>
      <c r="FJY534" s="69"/>
      <c r="FJZ534" s="69"/>
      <c r="FKA534" s="69"/>
      <c r="FKB534" s="69"/>
      <c r="FKC534" s="69"/>
      <c r="FKD534" s="69"/>
      <c r="FKE534" s="69"/>
      <c r="FKF534" s="69"/>
      <c r="FKG534" s="69"/>
      <c r="FKH534" s="69"/>
      <c r="FKI534" s="69"/>
      <c r="FKJ534" s="69"/>
      <c r="FKK534" s="69"/>
      <c r="FKL534" s="69"/>
      <c r="FKM534" s="69"/>
      <c r="FKN534" s="69"/>
      <c r="FKO534" s="69"/>
      <c r="FKP534" s="69"/>
      <c r="FKQ534" s="69"/>
      <c r="FKR534" s="69"/>
      <c r="FKS534" s="69"/>
      <c r="FKT534" s="69"/>
      <c r="FKU534" s="69"/>
      <c r="FKV534" s="69"/>
      <c r="FKW534" s="69"/>
      <c r="FKX534" s="69"/>
      <c r="FKY534" s="69"/>
      <c r="FKZ534" s="69"/>
      <c r="FLA534" s="69"/>
      <c r="FLB534" s="69"/>
      <c r="FLC534" s="69"/>
      <c r="FLD534" s="69"/>
      <c r="FLE534" s="69"/>
      <c r="FLF534" s="69"/>
      <c r="FLG534" s="69"/>
      <c r="FLH534" s="69"/>
      <c r="FLI534" s="69"/>
      <c r="FLJ534" s="69"/>
      <c r="FLK534" s="69"/>
      <c r="FLL534" s="69"/>
      <c r="FLM534" s="69"/>
      <c r="FLN534" s="69"/>
      <c r="FLO534" s="69"/>
      <c r="FLP534" s="69"/>
      <c r="FLQ534" s="69"/>
      <c r="FLR534" s="69"/>
      <c r="FLS534" s="69"/>
      <c r="FLT534" s="69"/>
      <c r="FLU534" s="69"/>
      <c r="FLV534" s="69"/>
      <c r="FLW534" s="69"/>
      <c r="FLX534" s="69"/>
      <c r="FLY534" s="69"/>
      <c r="FLZ534" s="69"/>
      <c r="FMA534" s="69"/>
      <c r="FMB534" s="69"/>
      <c r="FMC534" s="69"/>
      <c r="FMD534" s="69"/>
      <c r="FME534" s="69"/>
      <c r="FMF534" s="69"/>
      <c r="FMG534" s="69"/>
      <c r="FMH534" s="69"/>
      <c r="FMI534" s="69"/>
      <c r="FMJ534" s="69"/>
      <c r="FMK534" s="69"/>
      <c r="FML534" s="69"/>
      <c r="FMM534" s="69"/>
      <c r="FMN534" s="69"/>
      <c r="FMO534" s="69"/>
      <c r="FMP534" s="69"/>
      <c r="FMQ534" s="69"/>
      <c r="FMR534" s="69"/>
      <c r="FMS534" s="69"/>
      <c r="FMT534" s="69"/>
      <c r="FMU534" s="69"/>
      <c r="FMV534" s="69"/>
      <c r="FMW534" s="69"/>
      <c r="FMX534" s="69"/>
      <c r="FMY534" s="69"/>
      <c r="FMZ534" s="69"/>
      <c r="FNA534" s="69"/>
      <c r="FNB534" s="69"/>
      <c r="FNC534" s="69"/>
      <c r="FND534" s="69"/>
      <c r="FNE534" s="69"/>
      <c r="FNF534" s="69"/>
      <c r="FNG534" s="69"/>
      <c r="FNH534" s="69"/>
      <c r="FNI534" s="69"/>
      <c r="FNJ534" s="69"/>
      <c r="FNK534" s="69"/>
      <c r="FNL534" s="69"/>
      <c r="FNM534" s="69"/>
      <c r="FNN534" s="69"/>
      <c r="FNO534" s="69"/>
      <c r="FNP534" s="69"/>
      <c r="FNQ534" s="69"/>
      <c r="FNR534" s="69"/>
      <c r="FNS534" s="69"/>
      <c r="FNT534" s="69"/>
      <c r="FNU534" s="69"/>
      <c r="FNV534" s="69"/>
      <c r="FNW534" s="69"/>
      <c r="FNX534" s="69"/>
      <c r="FNY534" s="69"/>
      <c r="FNZ534" s="69"/>
      <c r="FOA534" s="69"/>
      <c r="FOB534" s="69"/>
      <c r="FOC534" s="69"/>
      <c r="FOD534" s="69"/>
      <c r="FOE534" s="69"/>
      <c r="FOF534" s="69"/>
      <c r="FOG534" s="69"/>
      <c r="FOH534" s="69"/>
      <c r="FOI534" s="69"/>
      <c r="FOJ534" s="69"/>
      <c r="FOK534" s="69"/>
      <c r="FOL534" s="69"/>
      <c r="FOM534" s="69"/>
      <c r="FON534" s="69"/>
      <c r="FOO534" s="69"/>
      <c r="FOP534" s="69"/>
      <c r="FOQ534" s="69"/>
      <c r="FOR534" s="69"/>
      <c r="FOS534" s="69"/>
      <c r="FOT534" s="69"/>
      <c r="FOU534" s="69"/>
      <c r="FOV534" s="69"/>
      <c r="FOW534" s="69"/>
      <c r="FOX534" s="69"/>
      <c r="FOY534" s="69"/>
      <c r="FOZ534" s="69"/>
      <c r="FPA534" s="69"/>
      <c r="FPB534" s="69"/>
      <c r="FPC534" s="69"/>
      <c r="FPD534" s="69"/>
      <c r="FPE534" s="69"/>
      <c r="FPF534" s="69"/>
      <c r="FPG534" s="69"/>
      <c r="FPH534" s="69"/>
      <c r="FPI534" s="69"/>
      <c r="FPJ534" s="69"/>
      <c r="FPK534" s="69"/>
      <c r="FPL534" s="69"/>
      <c r="FPM534" s="69"/>
      <c r="FPN534" s="69"/>
      <c r="FPO534" s="69"/>
      <c r="FPP534" s="69"/>
      <c r="FPQ534" s="69"/>
      <c r="FPR534" s="69"/>
      <c r="FPS534" s="69"/>
      <c r="FPT534" s="69"/>
      <c r="FPU534" s="69"/>
      <c r="FPV534" s="69"/>
      <c r="FPW534" s="69"/>
      <c r="FPX534" s="69"/>
      <c r="FPY534" s="69"/>
      <c r="FPZ534" s="69"/>
      <c r="FQA534" s="69"/>
      <c r="FQB534" s="69"/>
      <c r="FQC534" s="69"/>
      <c r="FQD534" s="69"/>
      <c r="FQE534" s="69"/>
      <c r="FQF534" s="69"/>
      <c r="FQG534" s="69"/>
      <c r="FQH534" s="69"/>
      <c r="FQI534" s="69"/>
      <c r="FQJ534" s="69"/>
      <c r="FQK534" s="69"/>
      <c r="FQL534" s="69"/>
      <c r="FQM534" s="69"/>
      <c r="FQN534" s="69"/>
      <c r="FQO534" s="69"/>
      <c r="FQP534" s="69"/>
      <c r="FQQ534" s="69"/>
      <c r="FQR534" s="69"/>
      <c r="FQS534" s="69"/>
      <c r="FQT534" s="69"/>
      <c r="FQU534" s="69"/>
      <c r="FQV534" s="69"/>
      <c r="FQW534" s="69"/>
      <c r="FQX534" s="69"/>
      <c r="FQY534" s="69"/>
      <c r="FQZ534" s="69"/>
      <c r="FRA534" s="69"/>
      <c r="FRB534" s="69"/>
      <c r="FRC534" s="69"/>
      <c r="FRD534" s="69"/>
      <c r="FRE534" s="69"/>
      <c r="FRF534" s="69"/>
      <c r="FRG534" s="69"/>
      <c r="FRH534" s="69"/>
      <c r="FRI534" s="69"/>
      <c r="FRJ534" s="69"/>
      <c r="FRK534" s="69"/>
      <c r="FRL534" s="69"/>
      <c r="FRM534" s="69"/>
      <c r="FRN534" s="69"/>
      <c r="FRO534" s="69"/>
      <c r="FRP534" s="69"/>
      <c r="FRQ534" s="69"/>
      <c r="FRR534" s="69"/>
      <c r="FRS534" s="69"/>
      <c r="FRT534" s="69"/>
      <c r="FRU534" s="69"/>
      <c r="FRV534" s="69"/>
      <c r="FRW534" s="69"/>
      <c r="FRX534" s="69"/>
      <c r="FRY534" s="69"/>
      <c r="FRZ534" s="69"/>
      <c r="FSA534" s="69"/>
      <c r="FSB534" s="69"/>
      <c r="FSC534" s="69"/>
      <c r="FSD534" s="69"/>
      <c r="FSE534" s="69"/>
      <c r="FSF534" s="69"/>
      <c r="FSG534" s="69"/>
      <c r="FSH534" s="69"/>
      <c r="FSI534" s="69"/>
      <c r="FSJ534" s="69"/>
      <c r="FSK534" s="69"/>
      <c r="FSL534" s="69"/>
      <c r="FSM534" s="69"/>
      <c r="FSN534" s="69"/>
      <c r="FSO534" s="69"/>
      <c r="FSP534" s="69"/>
      <c r="FSQ534" s="69"/>
      <c r="FSR534" s="69"/>
      <c r="FSS534" s="69"/>
      <c r="FST534" s="69"/>
      <c r="FSU534" s="69"/>
      <c r="FSV534" s="69"/>
      <c r="FSW534" s="69"/>
      <c r="FSX534" s="69"/>
      <c r="FSY534" s="69"/>
      <c r="FSZ534" s="69"/>
      <c r="FTA534" s="69"/>
      <c r="FTB534" s="69"/>
      <c r="FTC534" s="69"/>
      <c r="FTD534" s="69"/>
      <c r="FTE534" s="69"/>
      <c r="FTF534" s="69"/>
      <c r="FTG534" s="69"/>
      <c r="FTH534" s="69"/>
      <c r="FTI534" s="69"/>
      <c r="FTJ534" s="69"/>
      <c r="FTK534" s="69"/>
      <c r="FTL534" s="69"/>
      <c r="FTM534" s="69"/>
      <c r="FTN534" s="69"/>
      <c r="FTO534" s="69"/>
      <c r="FTP534" s="69"/>
      <c r="FTQ534" s="69"/>
      <c r="FTR534" s="69"/>
      <c r="FTS534" s="69"/>
      <c r="FTT534" s="69"/>
      <c r="FTU534" s="69"/>
      <c r="FTV534" s="69"/>
      <c r="FTW534" s="69"/>
      <c r="FTX534" s="69"/>
      <c r="FTY534" s="69"/>
      <c r="FTZ534" s="69"/>
      <c r="FUA534" s="69"/>
      <c r="FUB534" s="69"/>
      <c r="FUC534" s="69"/>
      <c r="FUD534" s="69"/>
      <c r="FUE534" s="69"/>
      <c r="FUF534" s="69"/>
      <c r="FUG534" s="69"/>
      <c r="FUH534" s="69"/>
      <c r="FUI534" s="69"/>
      <c r="FUJ534" s="69"/>
      <c r="FUK534" s="69"/>
      <c r="FUL534" s="69"/>
      <c r="FUM534" s="69"/>
      <c r="FUN534" s="69"/>
      <c r="FUO534" s="69"/>
      <c r="FUP534" s="69"/>
      <c r="FUQ534" s="69"/>
      <c r="FUR534" s="69"/>
      <c r="FUS534" s="69"/>
      <c r="FUT534" s="69"/>
      <c r="FUU534" s="69"/>
      <c r="FUV534" s="69"/>
      <c r="FUW534" s="69"/>
      <c r="FUX534" s="69"/>
      <c r="FUY534" s="69"/>
      <c r="FUZ534" s="69"/>
      <c r="FVA534" s="69"/>
      <c r="FVB534" s="69"/>
      <c r="FVC534" s="69"/>
      <c r="FVD534" s="69"/>
      <c r="FVE534" s="69"/>
      <c r="FVF534" s="69"/>
      <c r="FVG534" s="69"/>
      <c r="FVH534" s="69"/>
      <c r="FVI534" s="69"/>
      <c r="FVJ534" s="69"/>
      <c r="FVK534" s="69"/>
      <c r="FVL534" s="69"/>
      <c r="FVM534" s="69"/>
      <c r="FVN534" s="69"/>
      <c r="FVO534" s="69"/>
      <c r="FVP534" s="69"/>
      <c r="FVQ534" s="69"/>
      <c r="FVR534" s="69"/>
      <c r="FVS534" s="69"/>
      <c r="FVT534" s="69"/>
      <c r="FVU534" s="69"/>
      <c r="FVV534" s="69"/>
      <c r="FVW534" s="69"/>
      <c r="FVX534" s="69"/>
      <c r="FVY534" s="69"/>
      <c r="FVZ534" s="69"/>
      <c r="FWA534" s="69"/>
      <c r="FWB534" s="69"/>
      <c r="FWC534" s="69"/>
      <c r="FWD534" s="69"/>
      <c r="FWE534" s="69"/>
      <c r="FWF534" s="69"/>
      <c r="FWG534" s="69"/>
      <c r="FWH534" s="69"/>
      <c r="FWI534" s="69"/>
      <c r="FWJ534" s="69"/>
      <c r="FWK534" s="69"/>
      <c r="FWL534" s="69"/>
      <c r="FWM534" s="69"/>
      <c r="FWN534" s="69"/>
      <c r="FWO534" s="69"/>
      <c r="FWP534" s="69"/>
      <c r="FWQ534" s="69"/>
      <c r="FWR534" s="69"/>
      <c r="FWS534" s="69"/>
      <c r="FWT534" s="69"/>
      <c r="FWU534" s="69"/>
      <c r="FWV534" s="69"/>
      <c r="FWW534" s="69"/>
      <c r="FWX534" s="69"/>
      <c r="FWY534" s="69"/>
      <c r="FWZ534" s="69"/>
      <c r="FXA534" s="69"/>
      <c r="FXB534" s="69"/>
      <c r="FXC534" s="69"/>
      <c r="FXD534" s="69"/>
      <c r="FXE534" s="69"/>
      <c r="FXF534" s="69"/>
      <c r="FXG534" s="69"/>
      <c r="FXH534" s="69"/>
      <c r="FXI534" s="69"/>
      <c r="FXJ534" s="69"/>
      <c r="FXK534" s="69"/>
      <c r="FXL534" s="69"/>
      <c r="FXM534" s="69"/>
      <c r="FXN534" s="69"/>
      <c r="FXO534" s="69"/>
      <c r="FXP534" s="69"/>
      <c r="FXQ534" s="69"/>
      <c r="FXR534" s="69"/>
      <c r="FXS534" s="69"/>
      <c r="FXT534" s="69"/>
      <c r="FXU534" s="69"/>
      <c r="FXV534" s="69"/>
      <c r="FXW534" s="69"/>
      <c r="FXX534" s="69"/>
      <c r="FXY534" s="69"/>
      <c r="FXZ534" s="69"/>
      <c r="FYA534" s="69"/>
      <c r="FYB534" s="69"/>
      <c r="FYC534" s="69"/>
      <c r="FYD534" s="69"/>
      <c r="FYE534" s="69"/>
      <c r="FYF534" s="69"/>
      <c r="FYG534" s="69"/>
      <c r="FYH534" s="69"/>
      <c r="FYI534" s="69"/>
      <c r="FYJ534" s="69"/>
      <c r="FYK534" s="69"/>
      <c r="FYL534" s="69"/>
      <c r="FYM534" s="69"/>
      <c r="FYN534" s="69"/>
      <c r="FYO534" s="69"/>
      <c r="FYP534" s="69"/>
      <c r="FYQ534" s="69"/>
      <c r="FYR534" s="69"/>
      <c r="FYS534" s="69"/>
      <c r="FYT534" s="69"/>
      <c r="FYU534" s="69"/>
      <c r="FYV534" s="69"/>
      <c r="FYW534" s="69"/>
      <c r="FYX534" s="69"/>
      <c r="FYY534" s="69"/>
      <c r="FYZ534" s="69"/>
      <c r="FZA534" s="69"/>
      <c r="FZB534" s="69"/>
      <c r="FZC534" s="69"/>
      <c r="FZD534" s="69"/>
      <c r="FZE534" s="69"/>
      <c r="FZF534" s="69"/>
      <c r="FZG534" s="69"/>
      <c r="FZH534" s="69"/>
      <c r="FZI534" s="69"/>
      <c r="FZJ534" s="69"/>
      <c r="FZK534" s="69"/>
      <c r="FZL534" s="69"/>
      <c r="FZM534" s="69"/>
      <c r="FZN534" s="69"/>
      <c r="FZO534" s="69"/>
      <c r="FZP534" s="69"/>
      <c r="FZQ534" s="69"/>
      <c r="FZR534" s="69"/>
      <c r="FZS534" s="69"/>
      <c r="FZT534" s="69"/>
      <c r="FZU534" s="69"/>
      <c r="FZV534" s="69"/>
      <c r="FZW534" s="69"/>
      <c r="FZX534" s="69"/>
      <c r="FZY534" s="69"/>
      <c r="FZZ534" s="69"/>
      <c r="GAA534" s="69"/>
      <c r="GAB534" s="69"/>
      <c r="GAC534" s="69"/>
      <c r="GAD534" s="69"/>
      <c r="GAE534" s="69"/>
      <c r="GAF534" s="69"/>
      <c r="GAG534" s="69"/>
      <c r="GAH534" s="69"/>
      <c r="GAI534" s="69"/>
      <c r="GAJ534" s="69"/>
      <c r="GAK534" s="69"/>
      <c r="GAL534" s="69"/>
      <c r="GAM534" s="69"/>
      <c r="GAN534" s="69"/>
      <c r="GAO534" s="69"/>
      <c r="GAP534" s="69"/>
      <c r="GAQ534" s="69"/>
      <c r="GAR534" s="69"/>
      <c r="GAS534" s="69"/>
      <c r="GAT534" s="69"/>
      <c r="GAU534" s="69"/>
      <c r="GAV534" s="69"/>
      <c r="GAW534" s="69"/>
      <c r="GAX534" s="69"/>
      <c r="GAY534" s="69"/>
      <c r="GAZ534" s="69"/>
      <c r="GBA534" s="69"/>
      <c r="GBB534" s="69"/>
      <c r="GBC534" s="69"/>
      <c r="GBD534" s="69"/>
      <c r="GBE534" s="69"/>
      <c r="GBF534" s="69"/>
      <c r="GBG534" s="69"/>
      <c r="GBH534" s="69"/>
      <c r="GBI534" s="69"/>
      <c r="GBJ534" s="69"/>
      <c r="GBK534" s="69"/>
      <c r="GBL534" s="69"/>
      <c r="GBM534" s="69"/>
      <c r="GBN534" s="69"/>
      <c r="GBO534" s="69"/>
      <c r="GBP534" s="69"/>
      <c r="GBQ534" s="69"/>
      <c r="GBR534" s="69"/>
      <c r="GBS534" s="69"/>
      <c r="GBT534" s="69"/>
      <c r="GBU534" s="69"/>
      <c r="GBV534" s="69"/>
      <c r="GBW534" s="69"/>
      <c r="GBX534" s="69"/>
      <c r="GBY534" s="69"/>
      <c r="GBZ534" s="69"/>
      <c r="GCA534" s="69"/>
      <c r="GCB534" s="69"/>
      <c r="GCC534" s="69"/>
      <c r="GCD534" s="69"/>
      <c r="GCE534" s="69"/>
      <c r="GCF534" s="69"/>
      <c r="GCG534" s="69"/>
      <c r="GCH534" s="69"/>
      <c r="GCI534" s="69"/>
      <c r="GCJ534" s="69"/>
      <c r="GCK534" s="69"/>
      <c r="GCL534" s="69"/>
      <c r="GCM534" s="69"/>
      <c r="GCN534" s="69"/>
      <c r="GCO534" s="69"/>
      <c r="GCP534" s="69"/>
      <c r="GCQ534" s="69"/>
      <c r="GCR534" s="69"/>
      <c r="GCS534" s="69"/>
      <c r="GCT534" s="69"/>
      <c r="GCU534" s="69"/>
      <c r="GCV534" s="69"/>
      <c r="GCW534" s="69"/>
      <c r="GCX534" s="69"/>
      <c r="GCY534" s="69"/>
      <c r="GCZ534" s="69"/>
      <c r="GDA534" s="69"/>
      <c r="GDB534" s="69"/>
      <c r="GDC534" s="69"/>
      <c r="GDD534" s="69"/>
      <c r="GDE534" s="69"/>
      <c r="GDF534" s="69"/>
      <c r="GDG534" s="69"/>
      <c r="GDH534" s="69"/>
      <c r="GDI534" s="69"/>
      <c r="GDJ534" s="69"/>
      <c r="GDK534" s="69"/>
      <c r="GDL534" s="69"/>
      <c r="GDM534" s="69"/>
      <c r="GDN534" s="69"/>
      <c r="GDO534" s="69"/>
      <c r="GDP534" s="69"/>
      <c r="GDQ534" s="69"/>
      <c r="GDR534" s="69"/>
      <c r="GDS534" s="69"/>
      <c r="GDT534" s="69"/>
      <c r="GDU534" s="69"/>
      <c r="GDV534" s="69"/>
      <c r="GDW534" s="69"/>
      <c r="GDX534" s="69"/>
      <c r="GDY534" s="69"/>
      <c r="GDZ534" s="69"/>
      <c r="GEA534" s="69"/>
      <c r="GEB534" s="69"/>
      <c r="GEC534" s="69"/>
      <c r="GED534" s="69"/>
      <c r="GEE534" s="69"/>
      <c r="GEF534" s="69"/>
      <c r="GEG534" s="69"/>
      <c r="GEH534" s="69"/>
      <c r="GEI534" s="69"/>
      <c r="GEJ534" s="69"/>
      <c r="GEK534" s="69"/>
      <c r="GEL534" s="69"/>
      <c r="GEM534" s="69"/>
      <c r="GEN534" s="69"/>
      <c r="GEO534" s="69"/>
      <c r="GEP534" s="69"/>
      <c r="GEQ534" s="69"/>
      <c r="GER534" s="69"/>
      <c r="GES534" s="69"/>
      <c r="GET534" s="69"/>
      <c r="GEU534" s="69"/>
      <c r="GEV534" s="69"/>
      <c r="GEW534" s="69"/>
      <c r="GEX534" s="69"/>
      <c r="GEY534" s="69"/>
      <c r="GEZ534" s="69"/>
      <c r="GFA534" s="69"/>
      <c r="GFB534" s="69"/>
      <c r="GFC534" s="69"/>
      <c r="GFD534" s="69"/>
      <c r="GFE534" s="69"/>
      <c r="GFF534" s="69"/>
      <c r="GFG534" s="69"/>
      <c r="GFH534" s="69"/>
      <c r="GFI534" s="69"/>
      <c r="GFJ534" s="69"/>
      <c r="GFK534" s="69"/>
      <c r="GFL534" s="69"/>
      <c r="GFM534" s="69"/>
      <c r="GFN534" s="69"/>
      <c r="GFO534" s="69"/>
      <c r="GFP534" s="69"/>
      <c r="GFQ534" s="69"/>
      <c r="GFR534" s="69"/>
      <c r="GFS534" s="69"/>
      <c r="GFT534" s="69"/>
      <c r="GFU534" s="69"/>
      <c r="GFV534" s="69"/>
      <c r="GFW534" s="69"/>
      <c r="GFX534" s="69"/>
      <c r="GFY534" s="69"/>
      <c r="GFZ534" s="69"/>
      <c r="GGA534" s="69"/>
      <c r="GGB534" s="69"/>
      <c r="GGC534" s="69"/>
      <c r="GGD534" s="69"/>
      <c r="GGE534" s="69"/>
      <c r="GGF534" s="69"/>
      <c r="GGG534" s="69"/>
      <c r="GGH534" s="69"/>
      <c r="GGI534" s="69"/>
      <c r="GGJ534" s="69"/>
      <c r="GGK534" s="69"/>
      <c r="GGL534" s="69"/>
      <c r="GGM534" s="69"/>
      <c r="GGN534" s="69"/>
      <c r="GGO534" s="69"/>
      <c r="GGP534" s="69"/>
      <c r="GGQ534" s="69"/>
      <c r="GGR534" s="69"/>
      <c r="GGS534" s="69"/>
      <c r="GGT534" s="69"/>
      <c r="GGU534" s="69"/>
      <c r="GGV534" s="69"/>
      <c r="GGW534" s="69"/>
      <c r="GGX534" s="69"/>
      <c r="GGY534" s="69"/>
      <c r="GGZ534" s="69"/>
      <c r="GHA534" s="69"/>
      <c r="GHB534" s="69"/>
      <c r="GHC534" s="69"/>
      <c r="GHD534" s="69"/>
      <c r="GHE534" s="69"/>
      <c r="GHF534" s="69"/>
      <c r="GHG534" s="69"/>
      <c r="GHH534" s="69"/>
      <c r="GHI534" s="69"/>
      <c r="GHJ534" s="69"/>
      <c r="GHK534" s="69"/>
      <c r="GHL534" s="69"/>
      <c r="GHM534" s="69"/>
      <c r="GHN534" s="69"/>
      <c r="GHO534" s="69"/>
      <c r="GHP534" s="69"/>
      <c r="GHQ534" s="69"/>
      <c r="GHR534" s="69"/>
      <c r="GHS534" s="69"/>
      <c r="GHT534" s="69"/>
      <c r="GHU534" s="69"/>
      <c r="GHV534" s="69"/>
      <c r="GHW534" s="69"/>
      <c r="GHX534" s="69"/>
      <c r="GHY534" s="69"/>
      <c r="GHZ534" s="69"/>
      <c r="GIA534" s="69"/>
      <c r="GIB534" s="69"/>
      <c r="GIC534" s="69"/>
      <c r="GID534" s="69"/>
      <c r="GIE534" s="69"/>
      <c r="GIF534" s="69"/>
      <c r="GIG534" s="69"/>
      <c r="GIH534" s="69"/>
      <c r="GII534" s="69"/>
      <c r="GIJ534" s="69"/>
      <c r="GIK534" s="69"/>
      <c r="GIL534" s="69"/>
      <c r="GIM534" s="69"/>
      <c r="GIN534" s="69"/>
      <c r="GIO534" s="69"/>
      <c r="GIP534" s="69"/>
      <c r="GIQ534" s="69"/>
      <c r="GIR534" s="69"/>
      <c r="GIS534" s="69"/>
      <c r="GIT534" s="69"/>
      <c r="GIU534" s="69"/>
      <c r="GIV534" s="69"/>
      <c r="GIW534" s="69"/>
      <c r="GIX534" s="69"/>
      <c r="GIY534" s="69"/>
      <c r="GIZ534" s="69"/>
      <c r="GJA534" s="69"/>
      <c r="GJB534" s="69"/>
      <c r="GJC534" s="69"/>
      <c r="GJD534" s="69"/>
      <c r="GJE534" s="69"/>
      <c r="GJF534" s="69"/>
      <c r="GJG534" s="69"/>
      <c r="GJH534" s="69"/>
      <c r="GJI534" s="69"/>
      <c r="GJJ534" s="69"/>
      <c r="GJK534" s="69"/>
      <c r="GJL534" s="69"/>
      <c r="GJM534" s="69"/>
      <c r="GJN534" s="69"/>
      <c r="GJO534" s="69"/>
      <c r="GJP534" s="69"/>
      <c r="GJQ534" s="69"/>
      <c r="GJR534" s="69"/>
      <c r="GJS534" s="69"/>
      <c r="GJT534" s="69"/>
      <c r="GJU534" s="69"/>
      <c r="GJV534" s="69"/>
      <c r="GJW534" s="69"/>
      <c r="GJX534" s="69"/>
      <c r="GJY534" s="69"/>
      <c r="GJZ534" s="69"/>
      <c r="GKA534" s="69"/>
      <c r="GKB534" s="69"/>
      <c r="GKC534" s="69"/>
      <c r="GKD534" s="69"/>
      <c r="GKE534" s="69"/>
      <c r="GKF534" s="69"/>
      <c r="GKG534" s="69"/>
      <c r="GKH534" s="69"/>
      <c r="GKI534" s="69"/>
      <c r="GKJ534" s="69"/>
      <c r="GKK534" s="69"/>
      <c r="GKL534" s="69"/>
      <c r="GKM534" s="69"/>
      <c r="GKN534" s="69"/>
      <c r="GKO534" s="69"/>
      <c r="GKP534" s="69"/>
      <c r="GKQ534" s="69"/>
      <c r="GKR534" s="69"/>
      <c r="GKS534" s="69"/>
      <c r="GKT534" s="69"/>
      <c r="GKU534" s="69"/>
      <c r="GKV534" s="69"/>
      <c r="GKW534" s="69"/>
      <c r="GKX534" s="69"/>
      <c r="GKY534" s="69"/>
      <c r="GKZ534" s="69"/>
      <c r="GLA534" s="69"/>
      <c r="GLB534" s="69"/>
      <c r="GLC534" s="69"/>
      <c r="GLD534" s="69"/>
      <c r="GLE534" s="69"/>
      <c r="GLF534" s="69"/>
      <c r="GLG534" s="69"/>
      <c r="GLH534" s="69"/>
      <c r="GLI534" s="69"/>
      <c r="GLJ534" s="69"/>
      <c r="GLK534" s="69"/>
      <c r="GLL534" s="69"/>
      <c r="GLM534" s="69"/>
      <c r="GLN534" s="69"/>
      <c r="GLO534" s="69"/>
      <c r="GLP534" s="69"/>
      <c r="GLQ534" s="69"/>
      <c r="GLR534" s="69"/>
      <c r="GLS534" s="69"/>
      <c r="GLT534" s="69"/>
      <c r="GLU534" s="69"/>
      <c r="GLV534" s="69"/>
      <c r="GLW534" s="69"/>
      <c r="GLX534" s="69"/>
      <c r="GLY534" s="69"/>
      <c r="GLZ534" s="69"/>
      <c r="GMA534" s="69"/>
      <c r="GMB534" s="69"/>
      <c r="GMC534" s="69"/>
      <c r="GMD534" s="69"/>
      <c r="GME534" s="69"/>
      <c r="GMF534" s="69"/>
      <c r="GMG534" s="69"/>
      <c r="GMH534" s="69"/>
      <c r="GMI534" s="69"/>
      <c r="GMJ534" s="69"/>
      <c r="GMK534" s="69"/>
      <c r="GML534" s="69"/>
      <c r="GMM534" s="69"/>
      <c r="GMN534" s="69"/>
      <c r="GMO534" s="69"/>
      <c r="GMP534" s="69"/>
      <c r="GMQ534" s="69"/>
      <c r="GMR534" s="69"/>
      <c r="GMS534" s="69"/>
      <c r="GMT534" s="69"/>
      <c r="GMU534" s="69"/>
      <c r="GMV534" s="69"/>
      <c r="GMW534" s="69"/>
      <c r="GMX534" s="69"/>
      <c r="GMY534" s="69"/>
      <c r="GMZ534" s="69"/>
      <c r="GNA534" s="69"/>
      <c r="GNB534" s="69"/>
      <c r="GNC534" s="69"/>
      <c r="GND534" s="69"/>
      <c r="GNE534" s="69"/>
      <c r="GNF534" s="69"/>
      <c r="GNG534" s="69"/>
      <c r="GNH534" s="69"/>
      <c r="GNI534" s="69"/>
      <c r="GNJ534" s="69"/>
      <c r="GNK534" s="69"/>
      <c r="GNL534" s="69"/>
      <c r="GNM534" s="69"/>
      <c r="GNN534" s="69"/>
      <c r="GNO534" s="69"/>
      <c r="GNP534" s="69"/>
      <c r="GNQ534" s="69"/>
      <c r="GNR534" s="69"/>
      <c r="GNS534" s="69"/>
      <c r="GNT534" s="69"/>
      <c r="GNU534" s="69"/>
      <c r="GNV534" s="69"/>
      <c r="GNW534" s="69"/>
      <c r="GNX534" s="69"/>
      <c r="GNY534" s="69"/>
      <c r="GNZ534" s="69"/>
      <c r="GOA534" s="69"/>
      <c r="GOB534" s="69"/>
      <c r="GOC534" s="69"/>
      <c r="GOD534" s="69"/>
      <c r="GOE534" s="69"/>
      <c r="GOF534" s="69"/>
      <c r="GOG534" s="69"/>
      <c r="GOH534" s="69"/>
      <c r="GOI534" s="69"/>
      <c r="GOJ534" s="69"/>
      <c r="GOK534" s="69"/>
      <c r="GOL534" s="69"/>
      <c r="GOM534" s="69"/>
      <c r="GON534" s="69"/>
      <c r="GOO534" s="69"/>
      <c r="GOP534" s="69"/>
      <c r="GOQ534" s="69"/>
      <c r="GOR534" s="69"/>
      <c r="GOS534" s="69"/>
      <c r="GOT534" s="69"/>
      <c r="GOU534" s="69"/>
      <c r="GOV534" s="69"/>
      <c r="GOW534" s="69"/>
      <c r="GOX534" s="69"/>
      <c r="GOY534" s="69"/>
      <c r="GOZ534" s="69"/>
      <c r="GPA534" s="69"/>
      <c r="GPB534" s="69"/>
      <c r="GPC534" s="69"/>
      <c r="GPD534" s="69"/>
      <c r="GPE534" s="69"/>
      <c r="GPF534" s="69"/>
      <c r="GPG534" s="69"/>
      <c r="GPH534" s="69"/>
      <c r="GPI534" s="69"/>
      <c r="GPJ534" s="69"/>
      <c r="GPK534" s="69"/>
      <c r="GPL534" s="69"/>
      <c r="GPM534" s="69"/>
      <c r="GPN534" s="69"/>
      <c r="GPO534" s="69"/>
      <c r="GPP534" s="69"/>
      <c r="GPQ534" s="69"/>
      <c r="GPR534" s="69"/>
      <c r="GPS534" s="69"/>
      <c r="GPT534" s="69"/>
      <c r="GPU534" s="69"/>
      <c r="GPV534" s="69"/>
      <c r="GPW534" s="69"/>
      <c r="GPX534" s="69"/>
      <c r="GPY534" s="69"/>
      <c r="GPZ534" s="69"/>
      <c r="GQA534" s="69"/>
      <c r="GQB534" s="69"/>
      <c r="GQC534" s="69"/>
      <c r="GQD534" s="69"/>
      <c r="GQE534" s="69"/>
      <c r="GQF534" s="69"/>
      <c r="GQG534" s="69"/>
      <c r="GQH534" s="69"/>
      <c r="GQI534" s="69"/>
      <c r="GQJ534" s="69"/>
      <c r="GQK534" s="69"/>
      <c r="GQL534" s="69"/>
      <c r="GQM534" s="69"/>
      <c r="GQN534" s="69"/>
      <c r="GQO534" s="69"/>
      <c r="GQP534" s="69"/>
      <c r="GQQ534" s="69"/>
      <c r="GQR534" s="69"/>
      <c r="GQS534" s="69"/>
      <c r="GQT534" s="69"/>
      <c r="GQU534" s="69"/>
      <c r="GQV534" s="69"/>
      <c r="GQW534" s="69"/>
      <c r="GQX534" s="69"/>
      <c r="GQY534" s="69"/>
      <c r="GQZ534" s="69"/>
      <c r="GRA534" s="69"/>
      <c r="GRB534" s="69"/>
      <c r="GRC534" s="69"/>
      <c r="GRD534" s="69"/>
      <c r="GRE534" s="69"/>
      <c r="GRF534" s="69"/>
      <c r="GRG534" s="69"/>
      <c r="GRH534" s="69"/>
      <c r="GRI534" s="69"/>
      <c r="GRJ534" s="69"/>
      <c r="GRK534" s="69"/>
      <c r="GRL534" s="69"/>
      <c r="GRM534" s="69"/>
      <c r="GRN534" s="69"/>
      <c r="GRO534" s="69"/>
      <c r="GRP534" s="69"/>
      <c r="GRQ534" s="69"/>
      <c r="GRR534" s="69"/>
      <c r="GRS534" s="69"/>
      <c r="GRT534" s="69"/>
      <c r="GRU534" s="69"/>
      <c r="GRV534" s="69"/>
      <c r="GRW534" s="69"/>
      <c r="GRX534" s="69"/>
      <c r="GRY534" s="69"/>
      <c r="GRZ534" s="69"/>
      <c r="GSA534" s="69"/>
      <c r="GSB534" s="69"/>
      <c r="GSC534" s="69"/>
      <c r="GSD534" s="69"/>
      <c r="GSE534" s="69"/>
      <c r="GSF534" s="69"/>
      <c r="GSG534" s="69"/>
      <c r="GSH534" s="69"/>
      <c r="GSI534" s="69"/>
      <c r="GSJ534" s="69"/>
      <c r="GSK534" s="69"/>
      <c r="GSL534" s="69"/>
      <c r="GSM534" s="69"/>
      <c r="GSN534" s="69"/>
      <c r="GSO534" s="69"/>
      <c r="GSP534" s="69"/>
      <c r="GSQ534" s="69"/>
      <c r="GSR534" s="69"/>
      <c r="GSS534" s="69"/>
      <c r="GST534" s="69"/>
      <c r="GSU534" s="69"/>
      <c r="GSV534" s="69"/>
      <c r="GSW534" s="69"/>
      <c r="GSX534" s="69"/>
      <c r="GSY534" s="69"/>
      <c r="GSZ534" s="69"/>
      <c r="GTA534" s="69"/>
      <c r="GTB534" s="69"/>
      <c r="GTC534" s="69"/>
      <c r="GTD534" s="69"/>
      <c r="GTE534" s="69"/>
      <c r="GTF534" s="69"/>
      <c r="GTG534" s="69"/>
      <c r="GTH534" s="69"/>
      <c r="GTI534" s="69"/>
      <c r="GTJ534" s="69"/>
      <c r="GTK534" s="69"/>
      <c r="GTL534" s="69"/>
      <c r="GTM534" s="69"/>
      <c r="GTN534" s="69"/>
      <c r="GTO534" s="69"/>
      <c r="GTP534" s="69"/>
      <c r="GTQ534" s="69"/>
      <c r="GTR534" s="69"/>
      <c r="GTS534" s="69"/>
      <c r="GTT534" s="69"/>
      <c r="GTU534" s="69"/>
      <c r="GTV534" s="69"/>
      <c r="GTW534" s="69"/>
      <c r="GTX534" s="69"/>
      <c r="GTY534" s="69"/>
      <c r="GTZ534" s="69"/>
      <c r="GUA534" s="69"/>
      <c r="GUB534" s="69"/>
      <c r="GUC534" s="69"/>
      <c r="GUD534" s="69"/>
      <c r="GUE534" s="69"/>
      <c r="GUF534" s="69"/>
      <c r="GUG534" s="69"/>
      <c r="GUH534" s="69"/>
      <c r="GUI534" s="69"/>
      <c r="GUJ534" s="69"/>
      <c r="GUK534" s="69"/>
      <c r="GUL534" s="69"/>
      <c r="GUM534" s="69"/>
      <c r="GUN534" s="69"/>
      <c r="GUO534" s="69"/>
      <c r="GUP534" s="69"/>
      <c r="GUQ534" s="69"/>
      <c r="GUR534" s="69"/>
      <c r="GUS534" s="69"/>
      <c r="GUT534" s="69"/>
      <c r="GUU534" s="69"/>
      <c r="GUV534" s="69"/>
      <c r="GUW534" s="69"/>
      <c r="GUX534" s="69"/>
      <c r="GUY534" s="69"/>
      <c r="GUZ534" s="69"/>
      <c r="GVA534" s="69"/>
      <c r="GVB534" s="69"/>
      <c r="GVC534" s="69"/>
      <c r="GVD534" s="69"/>
      <c r="GVE534" s="69"/>
      <c r="GVF534" s="69"/>
      <c r="GVG534" s="69"/>
      <c r="GVH534" s="69"/>
      <c r="GVI534" s="69"/>
      <c r="GVJ534" s="69"/>
      <c r="GVK534" s="69"/>
      <c r="GVL534" s="69"/>
      <c r="GVM534" s="69"/>
      <c r="GVN534" s="69"/>
      <c r="GVO534" s="69"/>
      <c r="GVP534" s="69"/>
      <c r="GVQ534" s="69"/>
      <c r="GVR534" s="69"/>
      <c r="GVS534" s="69"/>
      <c r="GVT534" s="69"/>
      <c r="GVU534" s="69"/>
      <c r="GVV534" s="69"/>
      <c r="GVW534" s="69"/>
      <c r="GVX534" s="69"/>
      <c r="GVY534" s="69"/>
      <c r="GVZ534" s="69"/>
      <c r="GWA534" s="69"/>
      <c r="GWB534" s="69"/>
      <c r="GWC534" s="69"/>
      <c r="GWD534" s="69"/>
      <c r="GWE534" s="69"/>
      <c r="GWF534" s="69"/>
      <c r="GWG534" s="69"/>
      <c r="GWH534" s="69"/>
      <c r="GWI534" s="69"/>
      <c r="GWJ534" s="69"/>
      <c r="GWK534" s="69"/>
      <c r="GWL534" s="69"/>
      <c r="GWM534" s="69"/>
      <c r="GWN534" s="69"/>
      <c r="GWO534" s="69"/>
      <c r="GWP534" s="69"/>
      <c r="GWQ534" s="69"/>
      <c r="GWR534" s="69"/>
      <c r="GWS534" s="69"/>
      <c r="GWT534" s="69"/>
      <c r="GWU534" s="69"/>
      <c r="GWV534" s="69"/>
      <c r="GWW534" s="69"/>
      <c r="GWX534" s="69"/>
      <c r="GWY534" s="69"/>
      <c r="GWZ534" s="69"/>
      <c r="GXA534" s="69"/>
      <c r="GXB534" s="69"/>
      <c r="GXC534" s="69"/>
      <c r="GXD534" s="69"/>
      <c r="GXE534" s="69"/>
      <c r="GXF534" s="69"/>
      <c r="GXG534" s="69"/>
      <c r="GXH534" s="69"/>
      <c r="GXI534" s="69"/>
      <c r="GXJ534" s="69"/>
      <c r="GXK534" s="69"/>
      <c r="GXL534" s="69"/>
      <c r="GXM534" s="69"/>
      <c r="GXN534" s="69"/>
      <c r="GXO534" s="69"/>
      <c r="GXP534" s="69"/>
      <c r="GXQ534" s="69"/>
      <c r="GXR534" s="69"/>
      <c r="GXS534" s="69"/>
      <c r="GXT534" s="69"/>
      <c r="GXU534" s="69"/>
      <c r="GXV534" s="69"/>
      <c r="GXW534" s="69"/>
      <c r="GXX534" s="69"/>
      <c r="GXY534" s="69"/>
      <c r="GXZ534" s="69"/>
      <c r="GYA534" s="69"/>
      <c r="GYB534" s="69"/>
      <c r="GYC534" s="69"/>
      <c r="GYD534" s="69"/>
      <c r="GYE534" s="69"/>
      <c r="GYF534" s="69"/>
      <c r="GYG534" s="69"/>
      <c r="GYH534" s="69"/>
      <c r="GYI534" s="69"/>
      <c r="GYJ534" s="69"/>
      <c r="GYK534" s="69"/>
      <c r="GYL534" s="69"/>
      <c r="GYM534" s="69"/>
      <c r="GYN534" s="69"/>
      <c r="GYO534" s="69"/>
      <c r="GYP534" s="69"/>
      <c r="GYQ534" s="69"/>
      <c r="GYR534" s="69"/>
      <c r="GYS534" s="69"/>
      <c r="GYT534" s="69"/>
      <c r="GYU534" s="69"/>
      <c r="GYV534" s="69"/>
      <c r="GYW534" s="69"/>
      <c r="GYX534" s="69"/>
      <c r="GYY534" s="69"/>
      <c r="GYZ534" s="69"/>
      <c r="GZA534" s="69"/>
      <c r="GZB534" s="69"/>
      <c r="GZC534" s="69"/>
      <c r="GZD534" s="69"/>
      <c r="GZE534" s="69"/>
      <c r="GZF534" s="69"/>
      <c r="GZG534" s="69"/>
      <c r="GZH534" s="69"/>
      <c r="GZI534" s="69"/>
      <c r="GZJ534" s="69"/>
      <c r="GZK534" s="69"/>
      <c r="GZL534" s="69"/>
      <c r="GZM534" s="69"/>
      <c r="GZN534" s="69"/>
      <c r="GZO534" s="69"/>
      <c r="GZP534" s="69"/>
      <c r="GZQ534" s="69"/>
      <c r="GZR534" s="69"/>
      <c r="GZS534" s="69"/>
      <c r="GZT534" s="69"/>
      <c r="GZU534" s="69"/>
      <c r="GZV534" s="69"/>
      <c r="GZW534" s="69"/>
      <c r="GZX534" s="69"/>
      <c r="GZY534" s="69"/>
      <c r="GZZ534" s="69"/>
      <c r="HAA534" s="69"/>
      <c r="HAB534" s="69"/>
      <c r="HAC534" s="69"/>
      <c r="HAD534" s="69"/>
      <c r="HAE534" s="69"/>
      <c r="HAF534" s="69"/>
      <c r="HAG534" s="69"/>
      <c r="HAH534" s="69"/>
      <c r="HAI534" s="69"/>
      <c r="HAJ534" s="69"/>
      <c r="HAK534" s="69"/>
      <c r="HAL534" s="69"/>
      <c r="HAM534" s="69"/>
      <c r="HAN534" s="69"/>
      <c r="HAO534" s="69"/>
      <c r="HAP534" s="69"/>
      <c r="HAQ534" s="69"/>
      <c r="HAR534" s="69"/>
      <c r="HAS534" s="69"/>
      <c r="HAT534" s="69"/>
      <c r="HAU534" s="69"/>
      <c r="HAV534" s="69"/>
      <c r="HAW534" s="69"/>
      <c r="HAX534" s="69"/>
      <c r="HAY534" s="69"/>
      <c r="HAZ534" s="69"/>
      <c r="HBA534" s="69"/>
      <c r="HBB534" s="69"/>
      <c r="HBC534" s="69"/>
      <c r="HBD534" s="69"/>
      <c r="HBE534" s="69"/>
      <c r="HBF534" s="69"/>
      <c r="HBG534" s="69"/>
      <c r="HBH534" s="69"/>
      <c r="HBI534" s="69"/>
      <c r="HBJ534" s="69"/>
      <c r="HBK534" s="69"/>
      <c r="HBL534" s="69"/>
      <c r="HBM534" s="69"/>
      <c r="HBN534" s="69"/>
      <c r="HBO534" s="69"/>
      <c r="HBP534" s="69"/>
      <c r="HBQ534" s="69"/>
      <c r="HBR534" s="69"/>
      <c r="HBS534" s="69"/>
      <c r="HBT534" s="69"/>
      <c r="HBU534" s="69"/>
      <c r="HBV534" s="69"/>
      <c r="HBW534" s="69"/>
      <c r="HBX534" s="69"/>
      <c r="HBY534" s="69"/>
      <c r="HBZ534" s="69"/>
      <c r="HCA534" s="69"/>
      <c r="HCB534" s="69"/>
      <c r="HCC534" s="69"/>
      <c r="HCD534" s="69"/>
      <c r="HCE534" s="69"/>
      <c r="HCF534" s="69"/>
      <c r="HCG534" s="69"/>
      <c r="HCH534" s="69"/>
      <c r="HCI534" s="69"/>
      <c r="HCJ534" s="69"/>
      <c r="HCK534" s="69"/>
      <c r="HCL534" s="69"/>
      <c r="HCM534" s="69"/>
      <c r="HCN534" s="69"/>
      <c r="HCO534" s="69"/>
      <c r="HCP534" s="69"/>
      <c r="HCQ534" s="69"/>
      <c r="HCR534" s="69"/>
      <c r="HCS534" s="69"/>
      <c r="HCT534" s="69"/>
      <c r="HCU534" s="69"/>
      <c r="HCV534" s="69"/>
      <c r="HCW534" s="69"/>
      <c r="HCX534" s="69"/>
      <c r="HCY534" s="69"/>
      <c r="HCZ534" s="69"/>
      <c r="HDA534" s="69"/>
      <c r="HDB534" s="69"/>
      <c r="HDC534" s="69"/>
      <c r="HDD534" s="69"/>
      <c r="HDE534" s="69"/>
      <c r="HDF534" s="69"/>
      <c r="HDG534" s="69"/>
      <c r="HDH534" s="69"/>
      <c r="HDI534" s="69"/>
      <c r="HDJ534" s="69"/>
      <c r="HDK534" s="69"/>
      <c r="HDL534" s="69"/>
      <c r="HDM534" s="69"/>
      <c r="HDN534" s="69"/>
      <c r="HDO534" s="69"/>
      <c r="HDP534" s="69"/>
      <c r="HDQ534" s="69"/>
      <c r="HDR534" s="69"/>
      <c r="HDS534" s="69"/>
      <c r="HDT534" s="69"/>
      <c r="HDU534" s="69"/>
      <c r="HDV534" s="69"/>
      <c r="HDW534" s="69"/>
      <c r="HDX534" s="69"/>
      <c r="HDY534" s="69"/>
      <c r="HDZ534" s="69"/>
      <c r="HEA534" s="69"/>
      <c r="HEB534" s="69"/>
      <c r="HEC534" s="69"/>
      <c r="HED534" s="69"/>
      <c r="HEE534" s="69"/>
      <c r="HEF534" s="69"/>
      <c r="HEG534" s="69"/>
      <c r="HEH534" s="69"/>
      <c r="HEI534" s="69"/>
      <c r="HEJ534" s="69"/>
      <c r="HEK534" s="69"/>
      <c r="HEL534" s="69"/>
      <c r="HEM534" s="69"/>
      <c r="HEN534" s="69"/>
      <c r="HEO534" s="69"/>
      <c r="HEP534" s="69"/>
      <c r="HEQ534" s="69"/>
      <c r="HER534" s="69"/>
      <c r="HES534" s="69"/>
      <c r="HET534" s="69"/>
      <c r="HEU534" s="69"/>
      <c r="HEV534" s="69"/>
      <c r="HEW534" s="69"/>
      <c r="HEX534" s="69"/>
      <c r="HEY534" s="69"/>
      <c r="HEZ534" s="69"/>
      <c r="HFA534" s="69"/>
      <c r="HFB534" s="69"/>
      <c r="HFC534" s="69"/>
      <c r="HFD534" s="69"/>
      <c r="HFE534" s="69"/>
      <c r="HFF534" s="69"/>
      <c r="HFG534" s="69"/>
      <c r="HFH534" s="69"/>
      <c r="HFI534" s="69"/>
      <c r="HFJ534" s="69"/>
      <c r="HFK534" s="69"/>
      <c r="HFL534" s="69"/>
      <c r="HFM534" s="69"/>
      <c r="HFN534" s="69"/>
      <c r="HFO534" s="69"/>
      <c r="HFP534" s="69"/>
      <c r="HFQ534" s="69"/>
      <c r="HFR534" s="69"/>
      <c r="HFS534" s="69"/>
      <c r="HFT534" s="69"/>
      <c r="HFU534" s="69"/>
      <c r="HFV534" s="69"/>
      <c r="HFW534" s="69"/>
      <c r="HFX534" s="69"/>
      <c r="HFY534" s="69"/>
      <c r="HFZ534" s="69"/>
      <c r="HGA534" s="69"/>
      <c r="HGB534" s="69"/>
      <c r="HGC534" s="69"/>
      <c r="HGD534" s="69"/>
      <c r="HGE534" s="69"/>
      <c r="HGF534" s="69"/>
      <c r="HGG534" s="69"/>
      <c r="HGH534" s="69"/>
      <c r="HGI534" s="69"/>
      <c r="HGJ534" s="69"/>
      <c r="HGK534" s="69"/>
      <c r="HGL534" s="69"/>
      <c r="HGM534" s="69"/>
      <c r="HGN534" s="69"/>
      <c r="HGO534" s="69"/>
      <c r="HGP534" s="69"/>
      <c r="HGQ534" s="69"/>
      <c r="HGR534" s="69"/>
      <c r="HGS534" s="69"/>
      <c r="HGT534" s="69"/>
      <c r="HGU534" s="69"/>
      <c r="HGV534" s="69"/>
      <c r="HGW534" s="69"/>
      <c r="HGX534" s="69"/>
      <c r="HGY534" s="69"/>
      <c r="HGZ534" s="69"/>
      <c r="HHA534" s="69"/>
      <c r="HHB534" s="69"/>
      <c r="HHC534" s="69"/>
      <c r="HHD534" s="69"/>
      <c r="HHE534" s="69"/>
      <c r="HHF534" s="69"/>
      <c r="HHG534" s="69"/>
      <c r="HHH534" s="69"/>
      <c r="HHI534" s="69"/>
      <c r="HHJ534" s="69"/>
      <c r="HHK534" s="69"/>
      <c r="HHL534" s="69"/>
      <c r="HHM534" s="69"/>
      <c r="HHN534" s="69"/>
      <c r="HHO534" s="69"/>
      <c r="HHP534" s="69"/>
      <c r="HHQ534" s="69"/>
      <c r="HHR534" s="69"/>
      <c r="HHS534" s="69"/>
      <c r="HHT534" s="69"/>
      <c r="HHU534" s="69"/>
      <c r="HHV534" s="69"/>
      <c r="HHW534" s="69"/>
      <c r="HHX534" s="69"/>
      <c r="HHY534" s="69"/>
      <c r="HHZ534" s="69"/>
      <c r="HIA534" s="69"/>
      <c r="HIB534" s="69"/>
      <c r="HIC534" s="69"/>
      <c r="HID534" s="69"/>
      <c r="HIE534" s="69"/>
      <c r="HIF534" s="69"/>
      <c r="HIG534" s="69"/>
      <c r="HIH534" s="69"/>
      <c r="HII534" s="69"/>
      <c r="HIJ534" s="69"/>
      <c r="HIK534" s="69"/>
      <c r="HIL534" s="69"/>
      <c r="HIM534" s="69"/>
      <c r="HIN534" s="69"/>
      <c r="HIO534" s="69"/>
      <c r="HIP534" s="69"/>
      <c r="HIQ534" s="69"/>
      <c r="HIR534" s="69"/>
      <c r="HIS534" s="69"/>
      <c r="HIT534" s="69"/>
      <c r="HIU534" s="69"/>
      <c r="HIV534" s="69"/>
      <c r="HIW534" s="69"/>
      <c r="HIX534" s="69"/>
      <c r="HIY534" s="69"/>
      <c r="HIZ534" s="69"/>
      <c r="HJA534" s="69"/>
      <c r="HJB534" s="69"/>
      <c r="HJC534" s="69"/>
      <c r="HJD534" s="69"/>
      <c r="HJE534" s="69"/>
      <c r="HJF534" s="69"/>
      <c r="HJG534" s="69"/>
      <c r="HJH534" s="69"/>
      <c r="HJI534" s="69"/>
      <c r="HJJ534" s="69"/>
      <c r="HJK534" s="69"/>
      <c r="HJL534" s="69"/>
      <c r="HJM534" s="69"/>
      <c r="HJN534" s="69"/>
      <c r="HJO534" s="69"/>
      <c r="HJP534" s="69"/>
      <c r="HJQ534" s="69"/>
      <c r="HJR534" s="69"/>
      <c r="HJS534" s="69"/>
      <c r="HJT534" s="69"/>
      <c r="HJU534" s="69"/>
      <c r="HJV534" s="69"/>
      <c r="HJW534" s="69"/>
      <c r="HJX534" s="69"/>
      <c r="HJY534" s="69"/>
      <c r="HJZ534" s="69"/>
      <c r="HKA534" s="69"/>
      <c r="HKB534" s="69"/>
      <c r="HKC534" s="69"/>
      <c r="HKD534" s="69"/>
      <c r="HKE534" s="69"/>
      <c r="HKF534" s="69"/>
      <c r="HKG534" s="69"/>
      <c r="HKH534" s="69"/>
      <c r="HKI534" s="69"/>
      <c r="HKJ534" s="69"/>
      <c r="HKK534" s="69"/>
      <c r="HKL534" s="69"/>
      <c r="HKM534" s="69"/>
      <c r="HKN534" s="69"/>
      <c r="HKO534" s="69"/>
      <c r="HKP534" s="69"/>
      <c r="HKQ534" s="69"/>
      <c r="HKR534" s="69"/>
      <c r="HKS534" s="69"/>
      <c r="HKT534" s="69"/>
      <c r="HKU534" s="69"/>
      <c r="HKV534" s="69"/>
      <c r="HKW534" s="69"/>
      <c r="HKX534" s="69"/>
      <c r="HKY534" s="69"/>
      <c r="HKZ534" s="69"/>
      <c r="HLA534" s="69"/>
      <c r="HLB534" s="69"/>
      <c r="HLC534" s="69"/>
      <c r="HLD534" s="69"/>
      <c r="HLE534" s="69"/>
      <c r="HLF534" s="69"/>
      <c r="HLG534" s="69"/>
      <c r="HLH534" s="69"/>
      <c r="HLI534" s="69"/>
      <c r="HLJ534" s="69"/>
      <c r="HLK534" s="69"/>
      <c r="HLL534" s="69"/>
      <c r="HLM534" s="69"/>
      <c r="HLN534" s="69"/>
      <c r="HLO534" s="69"/>
      <c r="HLP534" s="69"/>
      <c r="HLQ534" s="69"/>
      <c r="HLR534" s="69"/>
      <c r="HLS534" s="69"/>
      <c r="HLT534" s="69"/>
      <c r="HLU534" s="69"/>
      <c r="HLV534" s="69"/>
      <c r="HLW534" s="69"/>
      <c r="HLX534" s="69"/>
      <c r="HLY534" s="69"/>
      <c r="HLZ534" s="69"/>
      <c r="HMA534" s="69"/>
      <c r="HMB534" s="69"/>
      <c r="HMC534" s="69"/>
      <c r="HMD534" s="69"/>
      <c r="HME534" s="69"/>
      <c r="HMF534" s="69"/>
      <c r="HMG534" s="69"/>
      <c r="HMH534" s="69"/>
      <c r="HMI534" s="69"/>
      <c r="HMJ534" s="69"/>
      <c r="HMK534" s="69"/>
      <c r="HML534" s="69"/>
      <c r="HMM534" s="69"/>
      <c r="HMN534" s="69"/>
      <c r="HMO534" s="69"/>
      <c r="HMP534" s="69"/>
      <c r="HMQ534" s="69"/>
      <c r="HMR534" s="69"/>
      <c r="HMS534" s="69"/>
      <c r="HMT534" s="69"/>
      <c r="HMU534" s="69"/>
      <c r="HMV534" s="69"/>
      <c r="HMW534" s="69"/>
      <c r="HMX534" s="69"/>
      <c r="HMY534" s="69"/>
      <c r="HMZ534" s="69"/>
      <c r="HNA534" s="69"/>
      <c r="HNB534" s="69"/>
      <c r="HNC534" s="69"/>
      <c r="HND534" s="69"/>
      <c r="HNE534" s="69"/>
      <c r="HNF534" s="69"/>
      <c r="HNG534" s="69"/>
      <c r="HNH534" s="69"/>
      <c r="HNI534" s="69"/>
      <c r="HNJ534" s="69"/>
      <c r="HNK534" s="69"/>
      <c r="HNL534" s="69"/>
      <c r="HNM534" s="69"/>
      <c r="HNN534" s="69"/>
      <c r="HNO534" s="69"/>
      <c r="HNP534" s="69"/>
      <c r="HNQ534" s="69"/>
      <c r="HNR534" s="69"/>
      <c r="HNS534" s="69"/>
      <c r="HNT534" s="69"/>
      <c r="HNU534" s="69"/>
      <c r="HNV534" s="69"/>
      <c r="HNW534" s="69"/>
      <c r="HNX534" s="69"/>
      <c r="HNY534" s="69"/>
      <c r="HNZ534" s="69"/>
      <c r="HOA534" s="69"/>
      <c r="HOB534" s="69"/>
      <c r="HOC534" s="69"/>
      <c r="HOD534" s="69"/>
      <c r="HOE534" s="69"/>
      <c r="HOF534" s="69"/>
      <c r="HOG534" s="69"/>
      <c r="HOH534" s="69"/>
      <c r="HOI534" s="69"/>
      <c r="HOJ534" s="69"/>
      <c r="HOK534" s="69"/>
      <c r="HOL534" s="69"/>
      <c r="HOM534" s="69"/>
      <c r="HON534" s="69"/>
      <c r="HOO534" s="69"/>
      <c r="HOP534" s="69"/>
      <c r="HOQ534" s="69"/>
      <c r="HOR534" s="69"/>
      <c r="HOS534" s="69"/>
      <c r="HOT534" s="69"/>
      <c r="HOU534" s="69"/>
      <c r="HOV534" s="69"/>
      <c r="HOW534" s="69"/>
      <c r="HOX534" s="69"/>
      <c r="HOY534" s="69"/>
      <c r="HOZ534" s="69"/>
      <c r="HPA534" s="69"/>
      <c r="HPB534" s="69"/>
      <c r="HPC534" s="69"/>
      <c r="HPD534" s="69"/>
      <c r="HPE534" s="69"/>
      <c r="HPF534" s="69"/>
      <c r="HPG534" s="69"/>
      <c r="HPH534" s="69"/>
      <c r="HPI534" s="69"/>
      <c r="HPJ534" s="69"/>
      <c r="HPK534" s="69"/>
      <c r="HPL534" s="69"/>
      <c r="HPM534" s="69"/>
      <c r="HPN534" s="69"/>
      <c r="HPO534" s="69"/>
      <c r="HPP534" s="69"/>
      <c r="HPQ534" s="69"/>
      <c r="HPR534" s="69"/>
      <c r="HPS534" s="69"/>
      <c r="HPT534" s="69"/>
      <c r="HPU534" s="69"/>
      <c r="HPV534" s="69"/>
      <c r="HPW534" s="69"/>
      <c r="HPX534" s="69"/>
      <c r="HPY534" s="69"/>
      <c r="HPZ534" s="69"/>
      <c r="HQA534" s="69"/>
      <c r="HQB534" s="69"/>
      <c r="HQC534" s="69"/>
      <c r="HQD534" s="69"/>
      <c r="HQE534" s="69"/>
      <c r="HQF534" s="69"/>
      <c r="HQG534" s="69"/>
      <c r="HQH534" s="69"/>
      <c r="HQI534" s="69"/>
      <c r="HQJ534" s="69"/>
      <c r="HQK534" s="69"/>
      <c r="HQL534" s="69"/>
      <c r="HQM534" s="69"/>
      <c r="HQN534" s="69"/>
      <c r="HQO534" s="69"/>
      <c r="HQP534" s="69"/>
      <c r="HQQ534" s="69"/>
      <c r="HQR534" s="69"/>
      <c r="HQS534" s="69"/>
      <c r="HQT534" s="69"/>
      <c r="HQU534" s="69"/>
      <c r="HQV534" s="69"/>
      <c r="HQW534" s="69"/>
      <c r="HQX534" s="69"/>
      <c r="HQY534" s="69"/>
      <c r="HQZ534" s="69"/>
      <c r="HRA534" s="69"/>
      <c r="HRB534" s="69"/>
      <c r="HRC534" s="69"/>
      <c r="HRD534" s="69"/>
      <c r="HRE534" s="69"/>
      <c r="HRF534" s="69"/>
      <c r="HRG534" s="69"/>
      <c r="HRH534" s="69"/>
      <c r="HRI534" s="69"/>
      <c r="HRJ534" s="69"/>
      <c r="HRK534" s="69"/>
      <c r="HRL534" s="69"/>
      <c r="HRM534" s="69"/>
      <c r="HRN534" s="69"/>
      <c r="HRO534" s="69"/>
      <c r="HRP534" s="69"/>
      <c r="HRQ534" s="69"/>
      <c r="HRR534" s="69"/>
      <c r="HRS534" s="69"/>
      <c r="HRT534" s="69"/>
      <c r="HRU534" s="69"/>
      <c r="HRV534" s="69"/>
      <c r="HRW534" s="69"/>
      <c r="HRX534" s="69"/>
      <c r="HRY534" s="69"/>
      <c r="HRZ534" s="69"/>
      <c r="HSA534" s="69"/>
      <c r="HSB534" s="69"/>
      <c r="HSC534" s="69"/>
      <c r="HSD534" s="69"/>
      <c r="HSE534" s="69"/>
      <c r="HSF534" s="69"/>
      <c r="HSG534" s="69"/>
      <c r="HSH534" s="69"/>
      <c r="HSI534" s="69"/>
      <c r="HSJ534" s="69"/>
      <c r="HSK534" s="69"/>
      <c r="HSL534" s="69"/>
      <c r="HSM534" s="69"/>
      <c r="HSN534" s="69"/>
      <c r="HSO534" s="69"/>
      <c r="HSP534" s="69"/>
      <c r="HSQ534" s="69"/>
      <c r="HSR534" s="69"/>
      <c r="HSS534" s="69"/>
      <c r="HST534" s="69"/>
      <c r="HSU534" s="69"/>
      <c r="HSV534" s="69"/>
      <c r="HSW534" s="69"/>
      <c r="HSX534" s="69"/>
      <c r="HSY534" s="69"/>
      <c r="HSZ534" s="69"/>
      <c r="HTA534" s="69"/>
      <c r="HTB534" s="69"/>
      <c r="HTC534" s="69"/>
      <c r="HTD534" s="69"/>
      <c r="HTE534" s="69"/>
      <c r="HTF534" s="69"/>
      <c r="HTG534" s="69"/>
      <c r="HTH534" s="69"/>
      <c r="HTI534" s="69"/>
      <c r="HTJ534" s="69"/>
      <c r="HTK534" s="69"/>
      <c r="HTL534" s="69"/>
      <c r="HTM534" s="69"/>
      <c r="HTN534" s="69"/>
      <c r="HTO534" s="69"/>
      <c r="HTP534" s="69"/>
      <c r="HTQ534" s="69"/>
      <c r="HTR534" s="69"/>
      <c r="HTS534" s="69"/>
      <c r="HTT534" s="69"/>
      <c r="HTU534" s="69"/>
      <c r="HTV534" s="69"/>
      <c r="HTW534" s="69"/>
      <c r="HTX534" s="69"/>
      <c r="HTY534" s="69"/>
      <c r="HTZ534" s="69"/>
      <c r="HUA534" s="69"/>
      <c r="HUB534" s="69"/>
      <c r="HUC534" s="69"/>
      <c r="HUD534" s="69"/>
      <c r="HUE534" s="69"/>
      <c r="HUF534" s="69"/>
      <c r="HUG534" s="69"/>
      <c r="HUH534" s="69"/>
      <c r="HUI534" s="69"/>
      <c r="HUJ534" s="69"/>
      <c r="HUK534" s="69"/>
      <c r="HUL534" s="69"/>
      <c r="HUM534" s="69"/>
      <c r="HUN534" s="69"/>
      <c r="HUO534" s="69"/>
      <c r="HUP534" s="69"/>
      <c r="HUQ534" s="69"/>
      <c r="HUR534" s="69"/>
      <c r="HUS534" s="69"/>
      <c r="HUT534" s="69"/>
      <c r="HUU534" s="69"/>
      <c r="HUV534" s="69"/>
      <c r="HUW534" s="69"/>
      <c r="HUX534" s="69"/>
      <c r="HUY534" s="69"/>
      <c r="HUZ534" s="69"/>
      <c r="HVA534" s="69"/>
      <c r="HVB534" s="69"/>
      <c r="HVC534" s="69"/>
      <c r="HVD534" s="69"/>
      <c r="HVE534" s="69"/>
      <c r="HVF534" s="69"/>
      <c r="HVG534" s="69"/>
      <c r="HVH534" s="69"/>
      <c r="HVI534" s="69"/>
      <c r="HVJ534" s="69"/>
      <c r="HVK534" s="69"/>
      <c r="HVL534" s="69"/>
      <c r="HVM534" s="69"/>
      <c r="HVN534" s="69"/>
      <c r="HVO534" s="69"/>
      <c r="HVP534" s="69"/>
      <c r="HVQ534" s="69"/>
      <c r="HVR534" s="69"/>
      <c r="HVS534" s="69"/>
      <c r="HVT534" s="69"/>
      <c r="HVU534" s="69"/>
      <c r="HVV534" s="69"/>
      <c r="HVW534" s="69"/>
      <c r="HVX534" s="69"/>
      <c r="HVY534" s="69"/>
      <c r="HVZ534" s="69"/>
      <c r="HWA534" s="69"/>
      <c r="HWB534" s="69"/>
      <c r="HWC534" s="69"/>
      <c r="HWD534" s="69"/>
      <c r="HWE534" s="69"/>
      <c r="HWF534" s="69"/>
      <c r="HWG534" s="69"/>
      <c r="HWH534" s="69"/>
      <c r="HWI534" s="69"/>
      <c r="HWJ534" s="69"/>
      <c r="HWK534" s="69"/>
      <c r="HWL534" s="69"/>
      <c r="HWM534" s="69"/>
      <c r="HWN534" s="69"/>
      <c r="HWO534" s="69"/>
      <c r="HWP534" s="69"/>
      <c r="HWQ534" s="69"/>
      <c r="HWR534" s="69"/>
      <c r="HWS534" s="69"/>
      <c r="HWT534" s="69"/>
      <c r="HWU534" s="69"/>
      <c r="HWV534" s="69"/>
      <c r="HWW534" s="69"/>
      <c r="HWX534" s="69"/>
      <c r="HWY534" s="69"/>
      <c r="HWZ534" s="69"/>
      <c r="HXA534" s="69"/>
      <c r="HXB534" s="69"/>
      <c r="HXC534" s="69"/>
      <c r="HXD534" s="69"/>
      <c r="HXE534" s="69"/>
      <c r="HXF534" s="69"/>
      <c r="HXG534" s="69"/>
      <c r="HXH534" s="69"/>
      <c r="HXI534" s="69"/>
      <c r="HXJ534" s="69"/>
      <c r="HXK534" s="69"/>
      <c r="HXL534" s="69"/>
      <c r="HXM534" s="69"/>
      <c r="HXN534" s="69"/>
      <c r="HXO534" s="69"/>
      <c r="HXP534" s="69"/>
      <c r="HXQ534" s="69"/>
      <c r="HXR534" s="69"/>
      <c r="HXS534" s="69"/>
      <c r="HXT534" s="69"/>
      <c r="HXU534" s="69"/>
      <c r="HXV534" s="69"/>
      <c r="HXW534" s="69"/>
      <c r="HXX534" s="69"/>
      <c r="HXY534" s="69"/>
      <c r="HXZ534" s="69"/>
      <c r="HYA534" s="69"/>
      <c r="HYB534" s="69"/>
      <c r="HYC534" s="69"/>
      <c r="HYD534" s="69"/>
      <c r="HYE534" s="69"/>
      <c r="HYF534" s="69"/>
      <c r="HYG534" s="69"/>
      <c r="HYH534" s="69"/>
      <c r="HYI534" s="69"/>
      <c r="HYJ534" s="69"/>
      <c r="HYK534" s="69"/>
      <c r="HYL534" s="69"/>
      <c r="HYM534" s="69"/>
      <c r="HYN534" s="69"/>
      <c r="HYO534" s="69"/>
      <c r="HYP534" s="69"/>
      <c r="HYQ534" s="69"/>
      <c r="HYR534" s="69"/>
      <c r="HYS534" s="69"/>
      <c r="HYT534" s="69"/>
      <c r="HYU534" s="69"/>
      <c r="HYV534" s="69"/>
      <c r="HYW534" s="69"/>
      <c r="HYX534" s="69"/>
      <c r="HYY534" s="69"/>
      <c r="HYZ534" s="69"/>
      <c r="HZA534" s="69"/>
      <c r="HZB534" s="69"/>
      <c r="HZC534" s="69"/>
      <c r="HZD534" s="69"/>
      <c r="HZE534" s="69"/>
      <c r="HZF534" s="69"/>
      <c r="HZG534" s="69"/>
      <c r="HZH534" s="69"/>
      <c r="HZI534" s="69"/>
      <c r="HZJ534" s="69"/>
      <c r="HZK534" s="69"/>
      <c r="HZL534" s="69"/>
      <c r="HZM534" s="69"/>
      <c r="HZN534" s="69"/>
      <c r="HZO534" s="69"/>
      <c r="HZP534" s="69"/>
      <c r="HZQ534" s="69"/>
      <c r="HZR534" s="69"/>
      <c r="HZS534" s="69"/>
      <c r="HZT534" s="69"/>
      <c r="HZU534" s="69"/>
      <c r="HZV534" s="69"/>
      <c r="HZW534" s="69"/>
      <c r="HZX534" s="69"/>
      <c r="HZY534" s="69"/>
      <c r="HZZ534" s="69"/>
      <c r="IAA534" s="69"/>
      <c r="IAB534" s="69"/>
      <c r="IAC534" s="69"/>
      <c r="IAD534" s="69"/>
      <c r="IAE534" s="69"/>
      <c r="IAF534" s="69"/>
      <c r="IAG534" s="69"/>
      <c r="IAH534" s="69"/>
      <c r="IAI534" s="69"/>
      <c r="IAJ534" s="69"/>
      <c r="IAK534" s="69"/>
      <c r="IAL534" s="69"/>
      <c r="IAM534" s="69"/>
      <c r="IAN534" s="69"/>
      <c r="IAO534" s="69"/>
      <c r="IAP534" s="69"/>
      <c r="IAQ534" s="69"/>
      <c r="IAR534" s="69"/>
      <c r="IAS534" s="69"/>
      <c r="IAT534" s="69"/>
      <c r="IAU534" s="69"/>
      <c r="IAV534" s="69"/>
      <c r="IAW534" s="69"/>
      <c r="IAX534" s="69"/>
      <c r="IAY534" s="69"/>
      <c r="IAZ534" s="69"/>
      <c r="IBA534" s="69"/>
      <c r="IBB534" s="69"/>
      <c r="IBC534" s="69"/>
      <c r="IBD534" s="69"/>
      <c r="IBE534" s="69"/>
      <c r="IBF534" s="69"/>
      <c r="IBG534" s="69"/>
      <c r="IBH534" s="69"/>
      <c r="IBI534" s="69"/>
      <c r="IBJ534" s="69"/>
      <c r="IBK534" s="69"/>
      <c r="IBL534" s="69"/>
      <c r="IBM534" s="69"/>
      <c r="IBN534" s="69"/>
      <c r="IBO534" s="69"/>
      <c r="IBP534" s="69"/>
      <c r="IBQ534" s="69"/>
      <c r="IBR534" s="69"/>
      <c r="IBS534" s="69"/>
      <c r="IBT534" s="69"/>
      <c r="IBU534" s="69"/>
      <c r="IBV534" s="69"/>
      <c r="IBW534" s="69"/>
      <c r="IBX534" s="69"/>
      <c r="IBY534" s="69"/>
      <c r="IBZ534" s="69"/>
      <c r="ICA534" s="69"/>
      <c r="ICB534" s="69"/>
      <c r="ICC534" s="69"/>
      <c r="ICD534" s="69"/>
      <c r="ICE534" s="69"/>
      <c r="ICF534" s="69"/>
      <c r="ICG534" s="69"/>
      <c r="ICH534" s="69"/>
      <c r="ICI534" s="69"/>
      <c r="ICJ534" s="69"/>
      <c r="ICK534" s="69"/>
      <c r="ICL534" s="69"/>
      <c r="ICM534" s="69"/>
      <c r="ICN534" s="69"/>
      <c r="ICO534" s="69"/>
      <c r="ICP534" s="69"/>
      <c r="ICQ534" s="69"/>
      <c r="ICR534" s="69"/>
      <c r="ICS534" s="69"/>
      <c r="ICT534" s="69"/>
      <c r="ICU534" s="69"/>
      <c r="ICV534" s="69"/>
      <c r="ICW534" s="69"/>
      <c r="ICX534" s="69"/>
      <c r="ICY534" s="69"/>
      <c r="ICZ534" s="69"/>
      <c r="IDA534" s="69"/>
      <c r="IDB534" s="69"/>
      <c r="IDC534" s="69"/>
      <c r="IDD534" s="69"/>
      <c r="IDE534" s="69"/>
      <c r="IDF534" s="69"/>
      <c r="IDG534" s="69"/>
      <c r="IDH534" s="69"/>
      <c r="IDI534" s="69"/>
      <c r="IDJ534" s="69"/>
      <c r="IDK534" s="69"/>
      <c r="IDL534" s="69"/>
      <c r="IDM534" s="69"/>
      <c r="IDN534" s="69"/>
      <c r="IDO534" s="69"/>
      <c r="IDP534" s="69"/>
      <c r="IDQ534" s="69"/>
      <c r="IDR534" s="69"/>
      <c r="IDS534" s="69"/>
      <c r="IDT534" s="69"/>
      <c r="IDU534" s="69"/>
      <c r="IDV534" s="69"/>
      <c r="IDW534" s="69"/>
      <c r="IDX534" s="69"/>
      <c r="IDY534" s="69"/>
      <c r="IDZ534" s="69"/>
      <c r="IEA534" s="69"/>
      <c r="IEB534" s="69"/>
      <c r="IEC534" s="69"/>
      <c r="IED534" s="69"/>
      <c r="IEE534" s="69"/>
      <c r="IEF534" s="69"/>
      <c r="IEG534" s="69"/>
      <c r="IEH534" s="69"/>
      <c r="IEI534" s="69"/>
      <c r="IEJ534" s="69"/>
      <c r="IEK534" s="69"/>
      <c r="IEL534" s="69"/>
      <c r="IEM534" s="69"/>
      <c r="IEN534" s="69"/>
      <c r="IEO534" s="69"/>
      <c r="IEP534" s="69"/>
      <c r="IEQ534" s="69"/>
      <c r="IER534" s="69"/>
      <c r="IES534" s="69"/>
      <c r="IET534" s="69"/>
      <c r="IEU534" s="69"/>
      <c r="IEV534" s="69"/>
      <c r="IEW534" s="69"/>
      <c r="IEX534" s="69"/>
      <c r="IEY534" s="69"/>
      <c r="IEZ534" s="69"/>
      <c r="IFA534" s="69"/>
      <c r="IFB534" s="69"/>
      <c r="IFC534" s="69"/>
      <c r="IFD534" s="69"/>
      <c r="IFE534" s="69"/>
      <c r="IFF534" s="69"/>
      <c r="IFG534" s="69"/>
      <c r="IFH534" s="69"/>
      <c r="IFI534" s="69"/>
      <c r="IFJ534" s="69"/>
      <c r="IFK534" s="69"/>
      <c r="IFL534" s="69"/>
      <c r="IFM534" s="69"/>
      <c r="IFN534" s="69"/>
      <c r="IFO534" s="69"/>
      <c r="IFP534" s="69"/>
      <c r="IFQ534" s="69"/>
      <c r="IFR534" s="69"/>
      <c r="IFS534" s="69"/>
      <c r="IFT534" s="69"/>
      <c r="IFU534" s="69"/>
      <c r="IFV534" s="69"/>
      <c r="IFW534" s="69"/>
      <c r="IFX534" s="69"/>
      <c r="IFY534" s="69"/>
      <c r="IFZ534" s="69"/>
      <c r="IGA534" s="69"/>
      <c r="IGB534" s="69"/>
      <c r="IGC534" s="69"/>
      <c r="IGD534" s="69"/>
      <c r="IGE534" s="69"/>
      <c r="IGF534" s="69"/>
      <c r="IGG534" s="69"/>
      <c r="IGH534" s="69"/>
      <c r="IGI534" s="69"/>
      <c r="IGJ534" s="69"/>
      <c r="IGK534" s="69"/>
      <c r="IGL534" s="69"/>
      <c r="IGM534" s="69"/>
      <c r="IGN534" s="69"/>
      <c r="IGO534" s="69"/>
      <c r="IGP534" s="69"/>
      <c r="IGQ534" s="69"/>
      <c r="IGR534" s="69"/>
      <c r="IGS534" s="69"/>
      <c r="IGT534" s="69"/>
      <c r="IGU534" s="69"/>
      <c r="IGV534" s="69"/>
      <c r="IGW534" s="69"/>
      <c r="IGX534" s="69"/>
      <c r="IGY534" s="69"/>
      <c r="IGZ534" s="69"/>
      <c r="IHA534" s="69"/>
      <c r="IHB534" s="69"/>
      <c r="IHC534" s="69"/>
      <c r="IHD534" s="69"/>
      <c r="IHE534" s="69"/>
      <c r="IHF534" s="69"/>
      <c r="IHG534" s="69"/>
      <c r="IHH534" s="69"/>
      <c r="IHI534" s="69"/>
      <c r="IHJ534" s="69"/>
      <c r="IHK534" s="69"/>
      <c r="IHL534" s="69"/>
      <c r="IHM534" s="69"/>
      <c r="IHN534" s="69"/>
      <c r="IHO534" s="69"/>
      <c r="IHP534" s="69"/>
      <c r="IHQ534" s="69"/>
      <c r="IHR534" s="69"/>
      <c r="IHS534" s="69"/>
      <c r="IHT534" s="69"/>
      <c r="IHU534" s="69"/>
      <c r="IHV534" s="69"/>
      <c r="IHW534" s="69"/>
      <c r="IHX534" s="69"/>
      <c r="IHY534" s="69"/>
      <c r="IHZ534" s="69"/>
      <c r="IIA534" s="69"/>
      <c r="IIB534" s="69"/>
      <c r="IIC534" s="69"/>
      <c r="IID534" s="69"/>
      <c r="IIE534" s="69"/>
      <c r="IIF534" s="69"/>
      <c r="IIG534" s="69"/>
      <c r="IIH534" s="69"/>
      <c r="III534" s="69"/>
      <c r="IIJ534" s="69"/>
      <c r="IIK534" s="69"/>
      <c r="IIL534" s="69"/>
      <c r="IIM534" s="69"/>
      <c r="IIN534" s="69"/>
      <c r="IIO534" s="69"/>
      <c r="IIP534" s="69"/>
      <c r="IIQ534" s="69"/>
      <c r="IIR534" s="69"/>
      <c r="IIS534" s="69"/>
      <c r="IIT534" s="69"/>
      <c r="IIU534" s="69"/>
      <c r="IIV534" s="69"/>
      <c r="IIW534" s="69"/>
      <c r="IIX534" s="69"/>
      <c r="IIY534" s="69"/>
      <c r="IIZ534" s="69"/>
      <c r="IJA534" s="69"/>
      <c r="IJB534" s="69"/>
      <c r="IJC534" s="69"/>
      <c r="IJD534" s="69"/>
      <c r="IJE534" s="69"/>
      <c r="IJF534" s="69"/>
      <c r="IJG534" s="69"/>
      <c r="IJH534" s="69"/>
      <c r="IJI534" s="69"/>
      <c r="IJJ534" s="69"/>
      <c r="IJK534" s="69"/>
      <c r="IJL534" s="69"/>
      <c r="IJM534" s="69"/>
      <c r="IJN534" s="69"/>
      <c r="IJO534" s="69"/>
      <c r="IJP534" s="69"/>
      <c r="IJQ534" s="69"/>
      <c r="IJR534" s="69"/>
      <c r="IJS534" s="69"/>
      <c r="IJT534" s="69"/>
      <c r="IJU534" s="69"/>
      <c r="IJV534" s="69"/>
      <c r="IJW534" s="69"/>
      <c r="IJX534" s="69"/>
      <c r="IJY534" s="69"/>
      <c r="IJZ534" s="69"/>
      <c r="IKA534" s="69"/>
      <c r="IKB534" s="69"/>
      <c r="IKC534" s="69"/>
      <c r="IKD534" s="69"/>
      <c r="IKE534" s="69"/>
      <c r="IKF534" s="69"/>
      <c r="IKG534" s="69"/>
      <c r="IKH534" s="69"/>
      <c r="IKI534" s="69"/>
      <c r="IKJ534" s="69"/>
      <c r="IKK534" s="69"/>
      <c r="IKL534" s="69"/>
      <c r="IKM534" s="69"/>
      <c r="IKN534" s="69"/>
      <c r="IKO534" s="69"/>
      <c r="IKP534" s="69"/>
      <c r="IKQ534" s="69"/>
      <c r="IKR534" s="69"/>
      <c r="IKS534" s="69"/>
      <c r="IKT534" s="69"/>
      <c r="IKU534" s="69"/>
      <c r="IKV534" s="69"/>
      <c r="IKW534" s="69"/>
      <c r="IKX534" s="69"/>
      <c r="IKY534" s="69"/>
      <c r="IKZ534" s="69"/>
      <c r="ILA534" s="69"/>
      <c r="ILB534" s="69"/>
      <c r="ILC534" s="69"/>
      <c r="ILD534" s="69"/>
      <c r="ILE534" s="69"/>
      <c r="ILF534" s="69"/>
      <c r="ILG534" s="69"/>
      <c r="ILH534" s="69"/>
      <c r="ILI534" s="69"/>
      <c r="ILJ534" s="69"/>
      <c r="ILK534" s="69"/>
      <c r="ILL534" s="69"/>
      <c r="ILM534" s="69"/>
      <c r="ILN534" s="69"/>
      <c r="ILO534" s="69"/>
      <c r="ILP534" s="69"/>
      <c r="ILQ534" s="69"/>
      <c r="ILR534" s="69"/>
      <c r="ILS534" s="69"/>
      <c r="ILT534" s="69"/>
      <c r="ILU534" s="69"/>
      <c r="ILV534" s="69"/>
      <c r="ILW534" s="69"/>
      <c r="ILX534" s="69"/>
      <c r="ILY534" s="69"/>
      <c r="ILZ534" s="69"/>
      <c r="IMA534" s="69"/>
      <c r="IMB534" s="69"/>
      <c r="IMC534" s="69"/>
      <c r="IMD534" s="69"/>
      <c r="IME534" s="69"/>
      <c r="IMF534" s="69"/>
      <c r="IMG534" s="69"/>
      <c r="IMH534" s="69"/>
      <c r="IMI534" s="69"/>
      <c r="IMJ534" s="69"/>
      <c r="IMK534" s="69"/>
      <c r="IML534" s="69"/>
      <c r="IMM534" s="69"/>
      <c r="IMN534" s="69"/>
      <c r="IMO534" s="69"/>
      <c r="IMP534" s="69"/>
      <c r="IMQ534" s="69"/>
      <c r="IMR534" s="69"/>
      <c r="IMS534" s="69"/>
      <c r="IMT534" s="69"/>
      <c r="IMU534" s="69"/>
      <c r="IMV534" s="69"/>
      <c r="IMW534" s="69"/>
      <c r="IMX534" s="69"/>
      <c r="IMY534" s="69"/>
      <c r="IMZ534" s="69"/>
      <c r="INA534" s="69"/>
      <c r="INB534" s="69"/>
      <c r="INC534" s="69"/>
      <c r="IND534" s="69"/>
      <c r="INE534" s="69"/>
      <c r="INF534" s="69"/>
      <c r="ING534" s="69"/>
      <c r="INH534" s="69"/>
      <c r="INI534" s="69"/>
      <c r="INJ534" s="69"/>
      <c r="INK534" s="69"/>
      <c r="INL534" s="69"/>
      <c r="INM534" s="69"/>
      <c r="INN534" s="69"/>
      <c r="INO534" s="69"/>
      <c r="INP534" s="69"/>
      <c r="INQ534" s="69"/>
      <c r="INR534" s="69"/>
      <c r="INS534" s="69"/>
      <c r="INT534" s="69"/>
      <c r="INU534" s="69"/>
      <c r="INV534" s="69"/>
      <c r="INW534" s="69"/>
      <c r="INX534" s="69"/>
      <c r="INY534" s="69"/>
      <c r="INZ534" s="69"/>
      <c r="IOA534" s="69"/>
      <c r="IOB534" s="69"/>
      <c r="IOC534" s="69"/>
      <c r="IOD534" s="69"/>
      <c r="IOE534" s="69"/>
      <c r="IOF534" s="69"/>
      <c r="IOG534" s="69"/>
      <c r="IOH534" s="69"/>
      <c r="IOI534" s="69"/>
      <c r="IOJ534" s="69"/>
      <c r="IOK534" s="69"/>
      <c r="IOL534" s="69"/>
      <c r="IOM534" s="69"/>
      <c r="ION534" s="69"/>
      <c r="IOO534" s="69"/>
      <c r="IOP534" s="69"/>
      <c r="IOQ534" s="69"/>
      <c r="IOR534" s="69"/>
      <c r="IOS534" s="69"/>
      <c r="IOT534" s="69"/>
      <c r="IOU534" s="69"/>
      <c r="IOV534" s="69"/>
      <c r="IOW534" s="69"/>
      <c r="IOX534" s="69"/>
      <c r="IOY534" s="69"/>
      <c r="IOZ534" s="69"/>
      <c r="IPA534" s="69"/>
      <c r="IPB534" s="69"/>
      <c r="IPC534" s="69"/>
      <c r="IPD534" s="69"/>
      <c r="IPE534" s="69"/>
      <c r="IPF534" s="69"/>
      <c r="IPG534" s="69"/>
      <c r="IPH534" s="69"/>
      <c r="IPI534" s="69"/>
      <c r="IPJ534" s="69"/>
      <c r="IPK534" s="69"/>
      <c r="IPL534" s="69"/>
      <c r="IPM534" s="69"/>
      <c r="IPN534" s="69"/>
      <c r="IPO534" s="69"/>
      <c r="IPP534" s="69"/>
      <c r="IPQ534" s="69"/>
      <c r="IPR534" s="69"/>
      <c r="IPS534" s="69"/>
      <c r="IPT534" s="69"/>
      <c r="IPU534" s="69"/>
      <c r="IPV534" s="69"/>
      <c r="IPW534" s="69"/>
      <c r="IPX534" s="69"/>
      <c r="IPY534" s="69"/>
      <c r="IPZ534" s="69"/>
      <c r="IQA534" s="69"/>
      <c r="IQB534" s="69"/>
      <c r="IQC534" s="69"/>
      <c r="IQD534" s="69"/>
      <c r="IQE534" s="69"/>
      <c r="IQF534" s="69"/>
      <c r="IQG534" s="69"/>
      <c r="IQH534" s="69"/>
      <c r="IQI534" s="69"/>
      <c r="IQJ534" s="69"/>
      <c r="IQK534" s="69"/>
      <c r="IQL534" s="69"/>
      <c r="IQM534" s="69"/>
      <c r="IQN534" s="69"/>
      <c r="IQO534" s="69"/>
      <c r="IQP534" s="69"/>
      <c r="IQQ534" s="69"/>
      <c r="IQR534" s="69"/>
      <c r="IQS534" s="69"/>
      <c r="IQT534" s="69"/>
      <c r="IQU534" s="69"/>
      <c r="IQV534" s="69"/>
      <c r="IQW534" s="69"/>
      <c r="IQX534" s="69"/>
      <c r="IQY534" s="69"/>
      <c r="IQZ534" s="69"/>
      <c r="IRA534" s="69"/>
      <c r="IRB534" s="69"/>
      <c r="IRC534" s="69"/>
      <c r="IRD534" s="69"/>
      <c r="IRE534" s="69"/>
      <c r="IRF534" s="69"/>
      <c r="IRG534" s="69"/>
      <c r="IRH534" s="69"/>
      <c r="IRI534" s="69"/>
      <c r="IRJ534" s="69"/>
      <c r="IRK534" s="69"/>
      <c r="IRL534" s="69"/>
      <c r="IRM534" s="69"/>
      <c r="IRN534" s="69"/>
      <c r="IRO534" s="69"/>
      <c r="IRP534" s="69"/>
      <c r="IRQ534" s="69"/>
      <c r="IRR534" s="69"/>
      <c r="IRS534" s="69"/>
      <c r="IRT534" s="69"/>
      <c r="IRU534" s="69"/>
      <c r="IRV534" s="69"/>
      <c r="IRW534" s="69"/>
      <c r="IRX534" s="69"/>
      <c r="IRY534" s="69"/>
      <c r="IRZ534" s="69"/>
      <c r="ISA534" s="69"/>
      <c r="ISB534" s="69"/>
      <c r="ISC534" s="69"/>
      <c r="ISD534" s="69"/>
      <c r="ISE534" s="69"/>
      <c r="ISF534" s="69"/>
      <c r="ISG534" s="69"/>
      <c r="ISH534" s="69"/>
      <c r="ISI534" s="69"/>
      <c r="ISJ534" s="69"/>
      <c r="ISK534" s="69"/>
      <c r="ISL534" s="69"/>
      <c r="ISM534" s="69"/>
      <c r="ISN534" s="69"/>
      <c r="ISO534" s="69"/>
      <c r="ISP534" s="69"/>
      <c r="ISQ534" s="69"/>
      <c r="ISR534" s="69"/>
      <c r="ISS534" s="69"/>
      <c r="IST534" s="69"/>
      <c r="ISU534" s="69"/>
      <c r="ISV534" s="69"/>
      <c r="ISW534" s="69"/>
      <c r="ISX534" s="69"/>
      <c r="ISY534" s="69"/>
      <c r="ISZ534" s="69"/>
      <c r="ITA534" s="69"/>
      <c r="ITB534" s="69"/>
      <c r="ITC534" s="69"/>
      <c r="ITD534" s="69"/>
      <c r="ITE534" s="69"/>
      <c r="ITF534" s="69"/>
      <c r="ITG534" s="69"/>
      <c r="ITH534" s="69"/>
      <c r="ITI534" s="69"/>
      <c r="ITJ534" s="69"/>
      <c r="ITK534" s="69"/>
      <c r="ITL534" s="69"/>
      <c r="ITM534" s="69"/>
      <c r="ITN534" s="69"/>
      <c r="ITO534" s="69"/>
      <c r="ITP534" s="69"/>
      <c r="ITQ534" s="69"/>
      <c r="ITR534" s="69"/>
      <c r="ITS534" s="69"/>
      <c r="ITT534" s="69"/>
      <c r="ITU534" s="69"/>
      <c r="ITV534" s="69"/>
      <c r="ITW534" s="69"/>
      <c r="ITX534" s="69"/>
      <c r="ITY534" s="69"/>
      <c r="ITZ534" s="69"/>
      <c r="IUA534" s="69"/>
      <c r="IUB534" s="69"/>
      <c r="IUC534" s="69"/>
      <c r="IUD534" s="69"/>
      <c r="IUE534" s="69"/>
      <c r="IUF534" s="69"/>
      <c r="IUG534" s="69"/>
      <c r="IUH534" s="69"/>
      <c r="IUI534" s="69"/>
      <c r="IUJ534" s="69"/>
      <c r="IUK534" s="69"/>
      <c r="IUL534" s="69"/>
      <c r="IUM534" s="69"/>
      <c r="IUN534" s="69"/>
      <c r="IUO534" s="69"/>
      <c r="IUP534" s="69"/>
      <c r="IUQ534" s="69"/>
      <c r="IUR534" s="69"/>
      <c r="IUS534" s="69"/>
      <c r="IUT534" s="69"/>
      <c r="IUU534" s="69"/>
      <c r="IUV534" s="69"/>
      <c r="IUW534" s="69"/>
      <c r="IUX534" s="69"/>
      <c r="IUY534" s="69"/>
      <c r="IUZ534" s="69"/>
      <c r="IVA534" s="69"/>
      <c r="IVB534" s="69"/>
      <c r="IVC534" s="69"/>
      <c r="IVD534" s="69"/>
      <c r="IVE534" s="69"/>
      <c r="IVF534" s="69"/>
      <c r="IVG534" s="69"/>
      <c r="IVH534" s="69"/>
      <c r="IVI534" s="69"/>
      <c r="IVJ534" s="69"/>
      <c r="IVK534" s="69"/>
      <c r="IVL534" s="69"/>
      <c r="IVM534" s="69"/>
      <c r="IVN534" s="69"/>
      <c r="IVO534" s="69"/>
      <c r="IVP534" s="69"/>
      <c r="IVQ534" s="69"/>
      <c r="IVR534" s="69"/>
      <c r="IVS534" s="69"/>
      <c r="IVT534" s="69"/>
      <c r="IVU534" s="69"/>
      <c r="IVV534" s="69"/>
      <c r="IVW534" s="69"/>
      <c r="IVX534" s="69"/>
      <c r="IVY534" s="69"/>
      <c r="IVZ534" s="69"/>
      <c r="IWA534" s="69"/>
      <c r="IWB534" s="69"/>
      <c r="IWC534" s="69"/>
      <c r="IWD534" s="69"/>
      <c r="IWE534" s="69"/>
      <c r="IWF534" s="69"/>
      <c r="IWG534" s="69"/>
      <c r="IWH534" s="69"/>
      <c r="IWI534" s="69"/>
      <c r="IWJ534" s="69"/>
      <c r="IWK534" s="69"/>
      <c r="IWL534" s="69"/>
      <c r="IWM534" s="69"/>
      <c r="IWN534" s="69"/>
      <c r="IWO534" s="69"/>
      <c r="IWP534" s="69"/>
      <c r="IWQ534" s="69"/>
      <c r="IWR534" s="69"/>
      <c r="IWS534" s="69"/>
      <c r="IWT534" s="69"/>
      <c r="IWU534" s="69"/>
      <c r="IWV534" s="69"/>
      <c r="IWW534" s="69"/>
      <c r="IWX534" s="69"/>
      <c r="IWY534" s="69"/>
      <c r="IWZ534" s="69"/>
      <c r="IXA534" s="69"/>
      <c r="IXB534" s="69"/>
      <c r="IXC534" s="69"/>
      <c r="IXD534" s="69"/>
      <c r="IXE534" s="69"/>
      <c r="IXF534" s="69"/>
      <c r="IXG534" s="69"/>
      <c r="IXH534" s="69"/>
      <c r="IXI534" s="69"/>
      <c r="IXJ534" s="69"/>
      <c r="IXK534" s="69"/>
      <c r="IXL534" s="69"/>
      <c r="IXM534" s="69"/>
      <c r="IXN534" s="69"/>
      <c r="IXO534" s="69"/>
      <c r="IXP534" s="69"/>
      <c r="IXQ534" s="69"/>
      <c r="IXR534" s="69"/>
      <c r="IXS534" s="69"/>
      <c r="IXT534" s="69"/>
      <c r="IXU534" s="69"/>
      <c r="IXV534" s="69"/>
      <c r="IXW534" s="69"/>
      <c r="IXX534" s="69"/>
      <c r="IXY534" s="69"/>
      <c r="IXZ534" s="69"/>
      <c r="IYA534" s="69"/>
      <c r="IYB534" s="69"/>
      <c r="IYC534" s="69"/>
      <c r="IYD534" s="69"/>
      <c r="IYE534" s="69"/>
      <c r="IYF534" s="69"/>
      <c r="IYG534" s="69"/>
      <c r="IYH534" s="69"/>
      <c r="IYI534" s="69"/>
      <c r="IYJ534" s="69"/>
      <c r="IYK534" s="69"/>
      <c r="IYL534" s="69"/>
      <c r="IYM534" s="69"/>
      <c r="IYN534" s="69"/>
      <c r="IYO534" s="69"/>
      <c r="IYP534" s="69"/>
      <c r="IYQ534" s="69"/>
      <c r="IYR534" s="69"/>
      <c r="IYS534" s="69"/>
      <c r="IYT534" s="69"/>
      <c r="IYU534" s="69"/>
      <c r="IYV534" s="69"/>
      <c r="IYW534" s="69"/>
      <c r="IYX534" s="69"/>
      <c r="IYY534" s="69"/>
      <c r="IYZ534" s="69"/>
      <c r="IZA534" s="69"/>
      <c r="IZB534" s="69"/>
      <c r="IZC534" s="69"/>
      <c r="IZD534" s="69"/>
      <c r="IZE534" s="69"/>
      <c r="IZF534" s="69"/>
      <c r="IZG534" s="69"/>
      <c r="IZH534" s="69"/>
      <c r="IZI534" s="69"/>
      <c r="IZJ534" s="69"/>
      <c r="IZK534" s="69"/>
      <c r="IZL534" s="69"/>
      <c r="IZM534" s="69"/>
      <c r="IZN534" s="69"/>
      <c r="IZO534" s="69"/>
      <c r="IZP534" s="69"/>
      <c r="IZQ534" s="69"/>
      <c r="IZR534" s="69"/>
      <c r="IZS534" s="69"/>
      <c r="IZT534" s="69"/>
      <c r="IZU534" s="69"/>
      <c r="IZV534" s="69"/>
      <c r="IZW534" s="69"/>
      <c r="IZX534" s="69"/>
      <c r="IZY534" s="69"/>
      <c r="IZZ534" s="69"/>
      <c r="JAA534" s="69"/>
      <c r="JAB534" s="69"/>
      <c r="JAC534" s="69"/>
      <c r="JAD534" s="69"/>
      <c r="JAE534" s="69"/>
      <c r="JAF534" s="69"/>
      <c r="JAG534" s="69"/>
      <c r="JAH534" s="69"/>
      <c r="JAI534" s="69"/>
      <c r="JAJ534" s="69"/>
      <c r="JAK534" s="69"/>
      <c r="JAL534" s="69"/>
      <c r="JAM534" s="69"/>
      <c r="JAN534" s="69"/>
      <c r="JAO534" s="69"/>
      <c r="JAP534" s="69"/>
      <c r="JAQ534" s="69"/>
      <c r="JAR534" s="69"/>
      <c r="JAS534" s="69"/>
      <c r="JAT534" s="69"/>
      <c r="JAU534" s="69"/>
      <c r="JAV534" s="69"/>
      <c r="JAW534" s="69"/>
      <c r="JAX534" s="69"/>
      <c r="JAY534" s="69"/>
      <c r="JAZ534" s="69"/>
      <c r="JBA534" s="69"/>
      <c r="JBB534" s="69"/>
      <c r="JBC534" s="69"/>
      <c r="JBD534" s="69"/>
      <c r="JBE534" s="69"/>
      <c r="JBF534" s="69"/>
      <c r="JBG534" s="69"/>
      <c r="JBH534" s="69"/>
      <c r="JBI534" s="69"/>
      <c r="JBJ534" s="69"/>
      <c r="JBK534" s="69"/>
      <c r="JBL534" s="69"/>
      <c r="JBM534" s="69"/>
      <c r="JBN534" s="69"/>
      <c r="JBO534" s="69"/>
      <c r="JBP534" s="69"/>
      <c r="JBQ534" s="69"/>
      <c r="JBR534" s="69"/>
      <c r="JBS534" s="69"/>
      <c r="JBT534" s="69"/>
      <c r="JBU534" s="69"/>
      <c r="JBV534" s="69"/>
      <c r="JBW534" s="69"/>
      <c r="JBX534" s="69"/>
      <c r="JBY534" s="69"/>
      <c r="JBZ534" s="69"/>
      <c r="JCA534" s="69"/>
      <c r="JCB534" s="69"/>
      <c r="JCC534" s="69"/>
      <c r="JCD534" s="69"/>
      <c r="JCE534" s="69"/>
      <c r="JCF534" s="69"/>
      <c r="JCG534" s="69"/>
      <c r="JCH534" s="69"/>
      <c r="JCI534" s="69"/>
      <c r="JCJ534" s="69"/>
      <c r="JCK534" s="69"/>
      <c r="JCL534" s="69"/>
      <c r="JCM534" s="69"/>
      <c r="JCN534" s="69"/>
      <c r="JCO534" s="69"/>
      <c r="JCP534" s="69"/>
      <c r="JCQ534" s="69"/>
      <c r="JCR534" s="69"/>
      <c r="JCS534" s="69"/>
      <c r="JCT534" s="69"/>
      <c r="JCU534" s="69"/>
      <c r="JCV534" s="69"/>
      <c r="JCW534" s="69"/>
      <c r="JCX534" s="69"/>
      <c r="JCY534" s="69"/>
      <c r="JCZ534" s="69"/>
      <c r="JDA534" s="69"/>
      <c r="JDB534" s="69"/>
      <c r="JDC534" s="69"/>
      <c r="JDD534" s="69"/>
      <c r="JDE534" s="69"/>
      <c r="JDF534" s="69"/>
      <c r="JDG534" s="69"/>
      <c r="JDH534" s="69"/>
      <c r="JDI534" s="69"/>
      <c r="JDJ534" s="69"/>
      <c r="JDK534" s="69"/>
      <c r="JDL534" s="69"/>
      <c r="JDM534" s="69"/>
      <c r="JDN534" s="69"/>
      <c r="JDO534" s="69"/>
      <c r="JDP534" s="69"/>
      <c r="JDQ534" s="69"/>
      <c r="JDR534" s="69"/>
      <c r="JDS534" s="69"/>
      <c r="JDT534" s="69"/>
      <c r="JDU534" s="69"/>
      <c r="JDV534" s="69"/>
      <c r="JDW534" s="69"/>
      <c r="JDX534" s="69"/>
      <c r="JDY534" s="69"/>
      <c r="JDZ534" s="69"/>
      <c r="JEA534" s="69"/>
      <c r="JEB534" s="69"/>
      <c r="JEC534" s="69"/>
      <c r="JED534" s="69"/>
      <c r="JEE534" s="69"/>
      <c r="JEF534" s="69"/>
      <c r="JEG534" s="69"/>
      <c r="JEH534" s="69"/>
      <c r="JEI534" s="69"/>
      <c r="JEJ534" s="69"/>
      <c r="JEK534" s="69"/>
      <c r="JEL534" s="69"/>
      <c r="JEM534" s="69"/>
      <c r="JEN534" s="69"/>
      <c r="JEO534" s="69"/>
      <c r="JEP534" s="69"/>
      <c r="JEQ534" s="69"/>
      <c r="JER534" s="69"/>
      <c r="JES534" s="69"/>
      <c r="JET534" s="69"/>
      <c r="JEU534" s="69"/>
      <c r="JEV534" s="69"/>
      <c r="JEW534" s="69"/>
      <c r="JEX534" s="69"/>
      <c r="JEY534" s="69"/>
      <c r="JEZ534" s="69"/>
      <c r="JFA534" s="69"/>
      <c r="JFB534" s="69"/>
      <c r="JFC534" s="69"/>
      <c r="JFD534" s="69"/>
      <c r="JFE534" s="69"/>
      <c r="JFF534" s="69"/>
      <c r="JFG534" s="69"/>
      <c r="JFH534" s="69"/>
      <c r="JFI534" s="69"/>
      <c r="JFJ534" s="69"/>
      <c r="JFK534" s="69"/>
      <c r="JFL534" s="69"/>
      <c r="JFM534" s="69"/>
      <c r="JFN534" s="69"/>
      <c r="JFO534" s="69"/>
      <c r="JFP534" s="69"/>
      <c r="JFQ534" s="69"/>
      <c r="JFR534" s="69"/>
      <c r="JFS534" s="69"/>
      <c r="JFT534" s="69"/>
      <c r="JFU534" s="69"/>
      <c r="JFV534" s="69"/>
      <c r="JFW534" s="69"/>
      <c r="JFX534" s="69"/>
      <c r="JFY534" s="69"/>
      <c r="JFZ534" s="69"/>
      <c r="JGA534" s="69"/>
      <c r="JGB534" s="69"/>
      <c r="JGC534" s="69"/>
      <c r="JGD534" s="69"/>
      <c r="JGE534" s="69"/>
      <c r="JGF534" s="69"/>
      <c r="JGG534" s="69"/>
      <c r="JGH534" s="69"/>
      <c r="JGI534" s="69"/>
      <c r="JGJ534" s="69"/>
      <c r="JGK534" s="69"/>
      <c r="JGL534" s="69"/>
      <c r="JGM534" s="69"/>
      <c r="JGN534" s="69"/>
      <c r="JGO534" s="69"/>
      <c r="JGP534" s="69"/>
      <c r="JGQ534" s="69"/>
      <c r="JGR534" s="69"/>
      <c r="JGS534" s="69"/>
      <c r="JGT534" s="69"/>
      <c r="JGU534" s="69"/>
      <c r="JGV534" s="69"/>
      <c r="JGW534" s="69"/>
      <c r="JGX534" s="69"/>
      <c r="JGY534" s="69"/>
      <c r="JGZ534" s="69"/>
      <c r="JHA534" s="69"/>
      <c r="JHB534" s="69"/>
      <c r="JHC534" s="69"/>
      <c r="JHD534" s="69"/>
      <c r="JHE534" s="69"/>
      <c r="JHF534" s="69"/>
      <c r="JHG534" s="69"/>
      <c r="JHH534" s="69"/>
      <c r="JHI534" s="69"/>
      <c r="JHJ534" s="69"/>
      <c r="JHK534" s="69"/>
      <c r="JHL534" s="69"/>
      <c r="JHM534" s="69"/>
      <c r="JHN534" s="69"/>
      <c r="JHO534" s="69"/>
      <c r="JHP534" s="69"/>
      <c r="JHQ534" s="69"/>
      <c r="JHR534" s="69"/>
      <c r="JHS534" s="69"/>
      <c r="JHT534" s="69"/>
      <c r="JHU534" s="69"/>
      <c r="JHV534" s="69"/>
      <c r="JHW534" s="69"/>
      <c r="JHX534" s="69"/>
      <c r="JHY534" s="69"/>
      <c r="JHZ534" s="69"/>
      <c r="JIA534" s="69"/>
      <c r="JIB534" s="69"/>
      <c r="JIC534" s="69"/>
      <c r="JID534" s="69"/>
      <c r="JIE534" s="69"/>
      <c r="JIF534" s="69"/>
      <c r="JIG534" s="69"/>
      <c r="JIH534" s="69"/>
      <c r="JII534" s="69"/>
      <c r="JIJ534" s="69"/>
      <c r="JIK534" s="69"/>
      <c r="JIL534" s="69"/>
      <c r="JIM534" s="69"/>
      <c r="JIN534" s="69"/>
      <c r="JIO534" s="69"/>
      <c r="JIP534" s="69"/>
      <c r="JIQ534" s="69"/>
      <c r="JIR534" s="69"/>
      <c r="JIS534" s="69"/>
      <c r="JIT534" s="69"/>
      <c r="JIU534" s="69"/>
      <c r="JIV534" s="69"/>
      <c r="JIW534" s="69"/>
      <c r="JIX534" s="69"/>
      <c r="JIY534" s="69"/>
      <c r="JIZ534" s="69"/>
      <c r="JJA534" s="69"/>
      <c r="JJB534" s="69"/>
      <c r="JJC534" s="69"/>
      <c r="JJD534" s="69"/>
      <c r="JJE534" s="69"/>
      <c r="JJF534" s="69"/>
      <c r="JJG534" s="69"/>
      <c r="JJH534" s="69"/>
      <c r="JJI534" s="69"/>
      <c r="JJJ534" s="69"/>
      <c r="JJK534" s="69"/>
      <c r="JJL534" s="69"/>
      <c r="JJM534" s="69"/>
      <c r="JJN534" s="69"/>
      <c r="JJO534" s="69"/>
      <c r="JJP534" s="69"/>
      <c r="JJQ534" s="69"/>
      <c r="JJR534" s="69"/>
      <c r="JJS534" s="69"/>
      <c r="JJT534" s="69"/>
      <c r="JJU534" s="69"/>
      <c r="JJV534" s="69"/>
      <c r="JJW534" s="69"/>
      <c r="JJX534" s="69"/>
      <c r="JJY534" s="69"/>
      <c r="JJZ534" s="69"/>
      <c r="JKA534" s="69"/>
      <c r="JKB534" s="69"/>
      <c r="JKC534" s="69"/>
      <c r="JKD534" s="69"/>
      <c r="JKE534" s="69"/>
      <c r="JKF534" s="69"/>
      <c r="JKG534" s="69"/>
      <c r="JKH534" s="69"/>
      <c r="JKI534" s="69"/>
      <c r="JKJ534" s="69"/>
      <c r="JKK534" s="69"/>
      <c r="JKL534" s="69"/>
      <c r="JKM534" s="69"/>
      <c r="JKN534" s="69"/>
      <c r="JKO534" s="69"/>
      <c r="JKP534" s="69"/>
      <c r="JKQ534" s="69"/>
      <c r="JKR534" s="69"/>
      <c r="JKS534" s="69"/>
      <c r="JKT534" s="69"/>
      <c r="JKU534" s="69"/>
      <c r="JKV534" s="69"/>
      <c r="JKW534" s="69"/>
      <c r="JKX534" s="69"/>
      <c r="JKY534" s="69"/>
      <c r="JKZ534" s="69"/>
      <c r="JLA534" s="69"/>
      <c r="JLB534" s="69"/>
      <c r="JLC534" s="69"/>
      <c r="JLD534" s="69"/>
      <c r="JLE534" s="69"/>
      <c r="JLF534" s="69"/>
      <c r="JLG534" s="69"/>
      <c r="JLH534" s="69"/>
      <c r="JLI534" s="69"/>
      <c r="JLJ534" s="69"/>
      <c r="JLK534" s="69"/>
      <c r="JLL534" s="69"/>
      <c r="JLM534" s="69"/>
      <c r="JLN534" s="69"/>
      <c r="JLO534" s="69"/>
      <c r="JLP534" s="69"/>
      <c r="JLQ534" s="69"/>
      <c r="JLR534" s="69"/>
      <c r="JLS534" s="69"/>
      <c r="JLT534" s="69"/>
      <c r="JLU534" s="69"/>
      <c r="JLV534" s="69"/>
      <c r="JLW534" s="69"/>
      <c r="JLX534" s="69"/>
      <c r="JLY534" s="69"/>
      <c r="JLZ534" s="69"/>
      <c r="JMA534" s="69"/>
      <c r="JMB534" s="69"/>
      <c r="JMC534" s="69"/>
      <c r="JMD534" s="69"/>
      <c r="JME534" s="69"/>
      <c r="JMF534" s="69"/>
      <c r="JMG534" s="69"/>
      <c r="JMH534" s="69"/>
      <c r="JMI534" s="69"/>
      <c r="JMJ534" s="69"/>
      <c r="JMK534" s="69"/>
      <c r="JML534" s="69"/>
      <c r="JMM534" s="69"/>
      <c r="JMN534" s="69"/>
      <c r="JMO534" s="69"/>
      <c r="JMP534" s="69"/>
      <c r="JMQ534" s="69"/>
      <c r="JMR534" s="69"/>
      <c r="JMS534" s="69"/>
      <c r="JMT534" s="69"/>
      <c r="JMU534" s="69"/>
      <c r="JMV534" s="69"/>
      <c r="JMW534" s="69"/>
      <c r="JMX534" s="69"/>
      <c r="JMY534" s="69"/>
      <c r="JMZ534" s="69"/>
      <c r="JNA534" s="69"/>
      <c r="JNB534" s="69"/>
      <c r="JNC534" s="69"/>
      <c r="JND534" s="69"/>
      <c r="JNE534" s="69"/>
      <c r="JNF534" s="69"/>
      <c r="JNG534" s="69"/>
      <c r="JNH534" s="69"/>
      <c r="JNI534" s="69"/>
      <c r="JNJ534" s="69"/>
      <c r="JNK534" s="69"/>
      <c r="JNL534" s="69"/>
      <c r="JNM534" s="69"/>
      <c r="JNN534" s="69"/>
      <c r="JNO534" s="69"/>
      <c r="JNP534" s="69"/>
      <c r="JNQ534" s="69"/>
      <c r="JNR534" s="69"/>
      <c r="JNS534" s="69"/>
      <c r="JNT534" s="69"/>
      <c r="JNU534" s="69"/>
      <c r="JNV534" s="69"/>
      <c r="JNW534" s="69"/>
      <c r="JNX534" s="69"/>
      <c r="JNY534" s="69"/>
      <c r="JNZ534" s="69"/>
      <c r="JOA534" s="69"/>
      <c r="JOB534" s="69"/>
      <c r="JOC534" s="69"/>
      <c r="JOD534" s="69"/>
      <c r="JOE534" s="69"/>
      <c r="JOF534" s="69"/>
      <c r="JOG534" s="69"/>
      <c r="JOH534" s="69"/>
      <c r="JOI534" s="69"/>
      <c r="JOJ534" s="69"/>
      <c r="JOK534" s="69"/>
      <c r="JOL534" s="69"/>
      <c r="JOM534" s="69"/>
      <c r="JON534" s="69"/>
      <c r="JOO534" s="69"/>
      <c r="JOP534" s="69"/>
      <c r="JOQ534" s="69"/>
      <c r="JOR534" s="69"/>
      <c r="JOS534" s="69"/>
      <c r="JOT534" s="69"/>
      <c r="JOU534" s="69"/>
      <c r="JOV534" s="69"/>
      <c r="JOW534" s="69"/>
      <c r="JOX534" s="69"/>
      <c r="JOY534" s="69"/>
      <c r="JOZ534" s="69"/>
      <c r="JPA534" s="69"/>
      <c r="JPB534" s="69"/>
      <c r="JPC534" s="69"/>
      <c r="JPD534" s="69"/>
      <c r="JPE534" s="69"/>
      <c r="JPF534" s="69"/>
      <c r="JPG534" s="69"/>
      <c r="JPH534" s="69"/>
      <c r="JPI534" s="69"/>
      <c r="JPJ534" s="69"/>
      <c r="JPK534" s="69"/>
      <c r="JPL534" s="69"/>
      <c r="JPM534" s="69"/>
      <c r="JPN534" s="69"/>
      <c r="JPO534" s="69"/>
      <c r="JPP534" s="69"/>
      <c r="JPQ534" s="69"/>
      <c r="JPR534" s="69"/>
      <c r="JPS534" s="69"/>
      <c r="JPT534" s="69"/>
      <c r="JPU534" s="69"/>
      <c r="JPV534" s="69"/>
      <c r="JPW534" s="69"/>
      <c r="JPX534" s="69"/>
      <c r="JPY534" s="69"/>
      <c r="JPZ534" s="69"/>
      <c r="JQA534" s="69"/>
      <c r="JQB534" s="69"/>
      <c r="JQC534" s="69"/>
      <c r="JQD534" s="69"/>
      <c r="JQE534" s="69"/>
      <c r="JQF534" s="69"/>
      <c r="JQG534" s="69"/>
      <c r="JQH534" s="69"/>
      <c r="JQI534" s="69"/>
      <c r="JQJ534" s="69"/>
      <c r="JQK534" s="69"/>
      <c r="JQL534" s="69"/>
      <c r="JQM534" s="69"/>
      <c r="JQN534" s="69"/>
      <c r="JQO534" s="69"/>
      <c r="JQP534" s="69"/>
      <c r="JQQ534" s="69"/>
      <c r="JQR534" s="69"/>
      <c r="JQS534" s="69"/>
      <c r="JQT534" s="69"/>
      <c r="JQU534" s="69"/>
      <c r="JQV534" s="69"/>
      <c r="JQW534" s="69"/>
      <c r="JQX534" s="69"/>
      <c r="JQY534" s="69"/>
      <c r="JQZ534" s="69"/>
      <c r="JRA534" s="69"/>
      <c r="JRB534" s="69"/>
      <c r="JRC534" s="69"/>
      <c r="JRD534" s="69"/>
      <c r="JRE534" s="69"/>
      <c r="JRF534" s="69"/>
      <c r="JRG534" s="69"/>
      <c r="JRH534" s="69"/>
      <c r="JRI534" s="69"/>
      <c r="JRJ534" s="69"/>
      <c r="JRK534" s="69"/>
      <c r="JRL534" s="69"/>
      <c r="JRM534" s="69"/>
      <c r="JRN534" s="69"/>
      <c r="JRO534" s="69"/>
      <c r="JRP534" s="69"/>
      <c r="JRQ534" s="69"/>
      <c r="JRR534" s="69"/>
      <c r="JRS534" s="69"/>
      <c r="JRT534" s="69"/>
      <c r="JRU534" s="69"/>
      <c r="JRV534" s="69"/>
      <c r="JRW534" s="69"/>
      <c r="JRX534" s="69"/>
      <c r="JRY534" s="69"/>
      <c r="JRZ534" s="69"/>
      <c r="JSA534" s="69"/>
      <c r="JSB534" s="69"/>
      <c r="JSC534" s="69"/>
      <c r="JSD534" s="69"/>
      <c r="JSE534" s="69"/>
      <c r="JSF534" s="69"/>
      <c r="JSG534" s="69"/>
      <c r="JSH534" s="69"/>
      <c r="JSI534" s="69"/>
      <c r="JSJ534" s="69"/>
      <c r="JSK534" s="69"/>
      <c r="JSL534" s="69"/>
      <c r="JSM534" s="69"/>
      <c r="JSN534" s="69"/>
      <c r="JSO534" s="69"/>
      <c r="JSP534" s="69"/>
      <c r="JSQ534" s="69"/>
      <c r="JSR534" s="69"/>
      <c r="JSS534" s="69"/>
      <c r="JST534" s="69"/>
      <c r="JSU534" s="69"/>
      <c r="JSV534" s="69"/>
      <c r="JSW534" s="69"/>
      <c r="JSX534" s="69"/>
      <c r="JSY534" s="69"/>
      <c r="JSZ534" s="69"/>
      <c r="JTA534" s="69"/>
      <c r="JTB534" s="69"/>
      <c r="JTC534" s="69"/>
      <c r="JTD534" s="69"/>
      <c r="JTE534" s="69"/>
      <c r="JTF534" s="69"/>
      <c r="JTG534" s="69"/>
      <c r="JTH534" s="69"/>
      <c r="JTI534" s="69"/>
      <c r="JTJ534" s="69"/>
      <c r="JTK534" s="69"/>
      <c r="JTL534" s="69"/>
      <c r="JTM534" s="69"/>
      <c r="JTN534" s="69"/>
      <c r="JTO534" s="69"/>
      <c r="JTP534" s="69"/>
      <c r="JTQ534" s="69"/>
      <c r="JTR534" s="69"/>
      <c r="JTS534" s="69"/>
      <c r="JTT534" s="69"/>
      <c r="JTU534" s="69"/>
      <c r="JTV534" s="69"/>
      <c r="JTW534" s="69"/>
      <c r="JTX534" s="69"/>
      <c r="JTY534" s="69"/>
      <c r="JTZ534" s="69"/>
      <c r="JUA534" s="69"/>
      <c r="JUB534" s="69"/>
      <c r="JUC534" s="69"/>
      <c r="JUD534" s="69"/>
      <c r="JUE534" s="69"/>
      <c r="JUF534" s="69"/>
      <c r="JUG534" s="69"/>
      <c r="JUH534" s="69"/>
      <c r="JUI534" s="69"/>
      <c r="JUJ534" s="69"/>
      <c r="JUK534" s="69"/>
      <c r="JUL534" s="69"/>
      <c r="JUM534" s="69"/>
      <c r="JUN534" s="69"/>
      <c r="JUO534" s="69"/>
      <c r="JUP534" s="69"/>
      <c r="JUQ534" s="69"/>
      <c r="JUR534" s="69"/>
      <c r="JUS534" s="69"/>
      <c r="JUT534" s="69"/>
      <c r="JUU534" s="69"/>
      <c r="JUV534" s="69"/>
      <c r="JUW534" s="69"/>
      <c r="JUX534" s="69"/>
      <c r="JUY534" s="69"/>
      <c r="JUZ534" s="69"/>
      <c r="JVA534" s="69"/>
      <c r="JVB534" s="69"/>
      <c r="JVC534" s="69"/>
      <c r="JVD534" s="69"/>
      <c r="JVE534" s="69"/>
      <c r="JVF534" s="69"/>
      <c r="JVG534" s="69"/>
      <c r="JVH534" s="69"/>
      <c r="JVI534" s="69"/>
      <c r="JVJ534" s="69"/>
      <c r="JVK534" s="69"/>
      <c r="JVL534" s="69"/>
      <c r="JVM534" s="69"/>
      <c r="JVN534" s="69"/>
      <c r="JVO534" s="69"/>
      <c r="JVP534" s="69"/>
      <c r="JVQ534" s="69"/>
      <c r="JVR534" s="69"/>
      <c r="JVS534" s="69"/>
      <c r="JVT534" s="69"/>
      <c r="JVU534" s="69"/>
      <c r="JVV534" s="69"/>
      <c r="JVW534" s="69"/>
      <c r="JVX534" s="69"/>
      <c r="JVY534" s="69"/>
      <c r="JVZ534" s="69"/>
      <c r="JWA534" s="69"/>
      <c r="JWB534" s="69"/>
      <c r="JWC534" s="69"/>
      <c r="JWD534" s="69"/>
      <c r="JWE534" s="69"/>
      <c r="JWF534" s="69"/>
      <c r="JWG534" s="69"/>
      <c r="JWH534" s="69"/>
      <c r="JWI534" s="69"/>
      <c r="JWJ534" s="69"/>
      <c r="JWK534" s="69"/>
      <c r="JWL534" s="69"/>
      <c r="JWM534" s="69"/>
      <c r="JWN534" s="69"/>
      <c r="JWO534" s="69"/>
      <c r="JWP534" s="69"/>
      <c r="JWQ534" s="69"/>
      <c r="JWR534" s="69"/>
      <c r="JWS534" s="69"/>
      <c r="JWT534" s="69"/>
      <c r="JWU534" s="69"/>
      <c r="JWV534" s="69"/>
      <c r="JWW534" s="69"/>
      <c r="JWX534" s="69"/>
      <c r="JWY534" s="69"/>
      <c r="JWZ534" s="69"/>
      <c r="JXA534" s="69"/>
      <c r="JXB534" s="69"/>
      <c r="JXC534" s="69"/>
      <c r="JXD534" s="69"/>
      <c r="JXE534" s="69"/>
      <c r="JXF534" s="69"/>
      <c r="JXG534" s="69"/>
      <c r="JXH534" s="69"/>
      <c r="JXI534" s="69"/>
      <c r="JXJ534" s="69"/>
      <c r="JXK534" s="69"/>
      <c r="JXL534" s="69"/>
      <c r="JXM534" s="69"/>
      <c r="JXN534" s="69"/>
      <c r="JXO534" s="69"/>
      <c r="JXP534" s="69"/>
      <c r="JXQ534" s="69"/>
      <c r="JXR534" s="69"/>
      <c r="JXS534" s="69"/>
      <c r="JXT534" s="69"/>
      <c r="JXU534" s="69"/>
      <c r="JXV534" s="69"/>
      <c r="JXW534" s="69"/>
      <c r="JXX534" s="69"/>
      <c r="JXY534" s="69"/>
      <c r="JXZ534" s="69"/>
      <c r="JYA534" s="69"/>
      <c r="JYB534" s="69"/>
      <c r="JYC534" s="69"/>
      <c r="JYD534" s="69"/>
      <c r="JYE534" s="69"/>
      <c r="JYF534" s="69"/>
      <c r="JYG534" s="69"/>
      <c r="JYH534" s="69"/>
      <c r="JYI534" s="69"/>
      <c r="JYJ534" s="69"/>
      <c r="JYK534" s="69"/>
      <c r="JYL534" s="69"/>
      <c r="JYM534" s="69"/>
      <c r="JYN534" s="69"/>
      <c r="JYO534" s="69"/>
      <c r="JYP534" s="69"/>
      <c r="JYQ534" s="69"/>
      <c r="JYR534" s="69"/>
      <c r="JYS534" s="69"/>
      <c r="JYT534" s="69"/>
      <c r="JYU534" s="69"/>
      <c r="JYV534" s="69"/>
      <c r="JYW534" s="69"/>
      <c r="JYX534" s="69"/>
      <c r="JYY534" s="69"/>
      <c r="JYZ534" s="69"/>
      <c r="JZA534" s="69"/>
      <c r="JZB534" s="69"/>
      <c r="JZC534" s="69"/>
      <c r="JZD534" s="69"/>
      <c r="JZE534" s="69"/>
      <c r="JZF534" s="69"/>
      <c r="JZG534" s="69"/>
      <c r="JZH534" s="69"/>
      <c r="JZI534" s="69"/>
      <c r="JZJ534" s="69"/>
      <c r="JZK534" s="69"/>
      <c r="JZL534" s="69"/>
      <c r="JZM534" s="69"/>
      <c r="JZN534" s="69"/>
      <c r="JZO534" s="69"/>
      <c r="JZP534" s="69"/>
      <c r="JZQ534" s="69"/>
      <c r="JZR534" s="69"/>
      <c r="JZS534" s="69"/>
      <c r="JZT534" s="69"/>
      <c r="JZU534" s="69"/>
      <c r="JZV534" s="69"/>
      <c r="JZW534" s="69"/>
      <c r="JZX534" s="69"/>
      <c r="JZY534" s="69"/>
      <c r="JZZ534" s="69"/>
      <c r="KAA534" s="69"/>
      <c r="KAB534" s="69"/>
      <c r="KAC534" s="69"/>
      <c r="KAD534" s="69"/>
      <c r="KAE534" s="69"/>
      <c r="KAF534" s="69"/>
      <c r="KAG534" s="69"/>
      <c r="KAH534" s="69"/>
      <c r="KAI534" s="69"/>
      <c r="KAJ534" s="69"/>
      <c r="KAK534" s="69"/>
      <c r="KAL534" s="69"/>
      <c r="KAM534" s="69"/>
      <c r="KAN534" s="69"/>
      <c r="KAO534" s="69"/>
      <c r="KAP534" s="69"/>
      <c r="KAQ534" s="69"/>
      <c r="KAR534" s="69"/>
      <c r="KAS534" s="69"/>
      <c r="KAT534" s="69"/>
      <c r="KAU534" s="69"/>
      <c r="KAV534" s="69"/>
      <c r="KAW534" s="69"/>
      <c r="KAX534" s="69"/>
      <c r="KAY534" s="69"/>
      <c r="KAZ534" s="69"/>
      <c r="KBA534" s="69"/>
      <c r="KBB534" s="69"/>
      <c r="KBC534" s="69"/>
      <c r="KBD534" s="69"/>
      <c r="KBE534" s="69"/>
      <c r="KBF534" s="69"/>
      <c r="KBG534" s="69"/>
      <c r="KBH534" s="69"/>
      <c r="KBI534" s="69"/>
      <c r="KBJ534" s="69"/>
      <c r="KBK534" s="69"/>
      <c r="KBL534" s="69"/>
      <c r="KBM534" s="69"/>
      <c r="KBN534" s="69"/>
      <c r="KBO534" s="69"/>
      <c r="KBP534" s="69"/>
      <c r="KBQ534" s="69"/>
      <c r="KBR534" s="69"/>
      <c r="KBS534" s="69"/>
      <c r="KBT534" s="69"/>
      <c r="KBU534" s="69"/>
      <c r="KBV534" s="69"/>
      <c r="KBW534" s="69"/>
      <c r="KBX534" s="69"/>
      <c r="KBY534" s="69"/>
      <c r="KBZ534" s="69"/>
      <c r="KCA534" s="69"/>
      <c r="KCB534" s="69"/>
      <c r="KCC534" s="69"/>
      <c r="KCD534" s="69"/>
      <c r="KCE534" s="69"/>
      <c r="KCF534" s="69"/>
      <c r="KCG534" s="69"/>
      <c r="KCH534" s="69"/>
      <c r="KCI534" s="69"/>
      <c r="KCJ534" s="69"/>
      <c r="KCK534" s="69"/>
      <c r="KCL534" s="69"/>
      <c r="KCM534" s="69"/>
      <c r="KCN534" s="69"/>
      <c r="KCO534" s="69"/>
      <c r="KCP534" s="69"/>
      <c r="KCQ534" s="69"/>
      <c r="KCR534" s="69"/>
      <c r="KCS534" s="69"/>
      <c r="KCT534" s="69"/>
      <c r="KCU534" s="69"/>
      <c r="KCV534" s="69"/>
      <c r="KCW534" s="69"/>
      <c r="KCX534" s="69"/>
      <c r="KCY534" s="69"/>
      <c r="KCZ534" s="69"/>
      <c r="KDA534" s="69"/>
      <c r="KDB534" s="69"/>
      <c r="KDC534" s="69"/>
      <c r="KDD534" s="69"/>
      <c r="KDE534" s="69"/>
      <c r="KDF534" s="69"/>
      <c r="KDG534" s="69"/>
      <c r="KDH534" s="69"/>
      <c r="KDI534" s="69"/>
      <c r="KDJ534" s="69"/>
      <c r="KDK534" s="69"/>
      <c r="KDL534" s="69"/>
      <c r="KDM534" s="69"/>
      <c r="KDN534" s="69"/>
      <c r="KDO534" s="69"/>
      <c r="KDP534" s="69"/>
      <c r="KDQ534" s="69"/>
      <c r="KDR534" s="69"/>
      <c r="KDS534" s="69"/>
      <c r="KDT534" s="69"/>
      <c r="KDU534" s="69"/>
      <c r="KDV534" s="69"/>
      <c r="KDW534" s="69"/>
      <c r="KDX534" s="69"/>
      <c r="KDY534" s="69"/>
      <c r="KDZ534" s="69"/>
      <c r="KEA534" s="69"/>
      <c r="KEB534" s="69"/>
      <c r="KEC534" s="69"/>
      <c r="KED534" s="69"/>
      <c r="KEE534" s="69"/>
      <c r="KEF534" s="69"/>
      <c r="KEG534" s="69"/>
      <c r="KEH534" s="69"/>
      <c r="KEI534" s="69"/>
      <c r="KEJ534" s="69"/>
      <c r="KEK534" s="69"/>
      <c r="KEL534" s="69"/>
      <c r="KEM534" s="69"/>
      <c r="KEN534" s="69"/>
      <c r="KEO534" s="69"/>
      <c r="KEP534" s="69"/>
      <c r="KEQ534" s="69"/>
      <c r="KER534" s="69"/>
      <c r="KES534" s="69"/>
      <c r="KET534" s="69"/>
      <c r="KEU534" s="69"/>
      <c r="KEV534" s="69"/>
      <c r="KEW534" s="69"/>
      <c r="KEX534" s="69"/>
      <c r="KEY534" s="69"/>
      <c r="KEZ534" s="69"/>
      <c r="KFA534" s="69"/>
      <c r="KFB534" s="69"/>
      <c r="KFC534" s="69"/>
      <c r="KFD534" s="69"/>
      <c r="KFE534" s="69"/>
      <c r="KFF534" s="69"/>
      <c r="KFG534" s="69"/>
      <c r="KFH534" s="69"/>
      <c r="KFI534" s="69"/>
      <c r="KFJ534" s="69"/>
      <c r="KFK534" s="69"/>
      <c r="KFL534" s="69"/>
      <c r="KFM534" s="69"/>
      <c r="KFN534" s="69"/>
      <c r="KFO534" s="69"/>
      <c r="KFP534" s="69"/>
      <c r="KFQ534" s="69"/>
      <c r="KFR534" s="69"/>
      <c r="KFS534" s="69"/>
      <c r="KFT534" s="69"/>
      <c r="KFU534" s="69"/>
      <c r="KFV534" s="69"/>
      <c r="KFW534" s="69"/>
      <c r="KFX534" s="69"/>
      <c r="KFY534" s="69"/>
      <c r="KFZ534" s="69"/>
      <c r="KGA534" s="69"/>
      <c r="KGB534" s="69"/>
      <c r="KGC534" s="69"/>
      <c r="KGD534" s="69"/>
      <c r="KGE534" s="69"/>
      <c r="KGF534" s="69"/>
      <c r="KGG534" s="69"/>
      <c r="KGH534" s="69"/>
      <c r="KGI534" s="69"/>
      <c r="KGJ534" s="69"/>
      <c r="KGK534" s="69"/>
      <c r="KGL534" s="69"/>
      <c r="KGM534" s="69"/>
      <c r="KGN534" s="69"/>
      <c r="KGO534" s="69"/>
      <c r="KGP534" s="69"/>
      <c r="KGQ534" s="69"/>
      <c r="KGR534" s="69"/>
      <c r="KGS534" s="69"/>
      <c r="KGT534" s="69"/>
      <c r="KGU534" s="69"/>
      <c r="KGV534" s="69"/>
      <c r="KGW534" s="69"/>
      <c r="KGX534" s="69"/>
      <c r="KGY534" s="69"/>
      <c r="KGZ534" s="69"/>
      <c r="KHA534" s="69"/>
      <c r="KHB534" s="69"/>
      <c r="KHC534" s="69"/>
      <c r="KHD534" s="69"/>
      <c r="KHE534" s="69"/>
      <c r="KHF534" s="69"/>
      <c r="KHG534" s="69"/>
      <c r="KHH534" s="69"/>
      <c r="KHI534" s="69"/>
      <c r="KHJ534" s="69"/>
      <c r="KHK534" s="69"/>
      <c r="KHL534" s="69"/>
      <c r="KHM534" s="69"/>
      <c r="KHN534" s="69"/>
      <c r="KHO534" s="69"/>
      <c r="KHP534" s="69"/>
      <c r="KHQ534" s="69"/>
      <c r="KHR534" s="69"/>
      <c r="KHS534" s="69"/>
      <c r="KHT534" s="69"/>
      <c r="KHU534" s="69"/>
      <c r="KHV534" s="69"/>
      <c r="KHW534" s="69"/>
      <c r="KHX534" s="69"/>
      <c r="KHY534" s="69"/>
      <c r="KHZ534" s="69"/>
      <c r="KIA534" s="69"/>
      <c r="KIB534" s="69"/>
      <c r="KIC534" s="69"/>
      <c r="KID534" s="69"/>
      <c r="KIE534" s="69"/>
      <c r="KIF534" s="69"/>
      <c r="KIG534" s="69"/>
      <c r="KIH534" s="69"/>
      <c r="KII534" s="69"/>
      <c r="KIJ534" s="69"/>
      <c r="KIK534" s="69"/>
      <c r="KIL534" s="69"/>
      <c r="KIM534" s="69"/>
      <c r="KIN534" s="69"/>
      <c r="KIO534" s="69"/>
      <c r="KIP534" s="69"/>
      <c r="KIQ534" s="69"/>
      <c r="KIR534" s="69"/>
      <c r="KIS534" s="69"/>
      <c r="KIT534" s="69"/>
      <c r="KIU534" s="69"/>
      <c r="KIV534" s="69"/>
      <c r="KIW534" s="69"/>
      <c r="KIX534" s="69"/>
      <c r="KIY534" s="69"/>
      <c r="KIZ534" s="69"/>
      <c r="KJA534" s="69"/>
      <c r="KJB534" s="69"/>
      <c r="KJC534" s="69"/>
      <c r="KJD534" s="69"/>
      <c r="KJE534" s="69"/>
      <c r="KJF534" s="69"/>
      <c r="KJG534" s="69"/>
      <c r="KJH534" s="69"/>
      <c r="KJI534" s="69"/>
      <c r="KJJ534" s="69"/>
      <c r="KJK534" s="69"/>
      <c r="KJL534" s="69"/>
      <c r="KJM534" s="69"/>
      <c r="KJN534" s="69"/>
      <c r="KJO534" s="69"/>
      <c r="KJP534" s="69"/>
      <c r="KJQ534" s="69"/>
      <c r="KJR534" s="69"/>
      <c r="KJS534" s="69"/>
      <c r="KJT534" s="69"/>
      <c r="KJU534" s="69"/>
      <c r="KJV534" s="69"/>
      <c r="KJW534" s="69"/>
      <c r="KJX534" s="69"/>
      <c r="KJY534" s="69"/>
      <c r="KJZ534" s="69"/>
      <c r="KKA534" s="69"/>
      <c r="KKB534" s="69"/>
      <c r="KKC534" s="69"/>
      <c r="KKD534" s="69"/>
      <c r="KKE534" s="69"/>
      <c r="KKF534" s="69"/>
      <c r="KKG534" s="69"/>
      <c r="KKH534" s="69"/>
      <c r="KKI534" s="69"/>
      <c r="KKJ534" s="69"/>
      <c r="KKK534" s="69"/>
      <c r="KKL534" s="69"/>
      <c r="KKM534" s="69"/>
      <c r="KKN534" s="69"/>
      <c r="KKO534" s="69"/>
      <c r="KKP534" s="69"/>
      <c r="KKQ534" s="69"/>
      <c r="KKR534" s="69"/>
      <c r="KKS534" s="69"/>
      <c r="KKT534" s="69"/>
      <c r="KKU534" s="69"/>
      <c r="KKV534" s="69"/>
      <c r="KKW534" s="69"/>
      <c r="KKX534" s="69"/>
      <c r="KKY534" s="69"/>
      <c r="KKZ534" s="69"/>
      <c r="KLA534" s="69"/>
      <c r="KLB534" s="69"/>
      <c r="KLC534" s="69"/>
      <c r="KLD534" s="69"/>
      <c r="KLE534" s="69"/>
      <c r="KLF534" s="69"/>
      <c r="KLG534" s="69"/>
      <c r="KLH534" s="69"/>
      <c r="KLI534" s="69"/>
      <c r="KLJ534" s="69"/>
      <c r="KLK534" s="69"/>
      <c r="KLL534" s="69"/>
      <c r="KLM534" s="69"/>
      <c r="KLN534" s="69"/>
      <c r="KLO534" s="69"/>
      <c r="KLP534" s="69"/>
      <c r="KLQ534" s="69"/>
      <c r="KLR534" s="69"/>
      <c r="KLS534" s="69"/>
      <c r="KLT534" s="69"/>
      <c r="KLU534" s="69"/>
      <c r="KLV534" s="69"/>
      <c r="KLW534" s="69"/>
      <c r="KLX534" s="69"/>
      <c r="KLY534" s="69"/>
      <c r="KLZ534" s="69"/>
      <c r="KMA534" s="69"/>
      <c r="KMB534" s="69"/>
      <c r="KMC534" s="69"/>
      <c r="KMD534" s="69"/>
      <c r="KME534" s="69"/>
      <c r="KMF534" s="69"/>
      <c r="KMG534" s="69"/>
      <c r="KMH534" s="69"/>
      <c r="KMI534" s="69"/>
      <c r="KMJ534" s="69"/>
      <c r="KMK534" s="69"/>
      <c r="KML534" s="69"/>
      <c r="KMM534" s="69"/>
      <c r="KMN534" s="69"/>
      <c r="KMO534" s="69"/>
      <c r="KMP534" s="69"/>
      <c r="KMQ534" s="69"/>
      <c r="KMR534" s="69"/>
      <c r="KMS534" s="69"/>
      <c r="KMT534" s="69"/>
      <c r="KMU534" s="69"/>
      <c r="KMV534" s="69"/>
      <c r="KMW534" s="69"/>
      <c r="KMX534" s="69"/>
      <c r="KMY534" s="69"/>
      <c r="KMZ534" s="69"/>
      <c r="KNA534" s="69"/>
      <c r="KNB534" s="69"/>
      <c r="KNC534" s="69"/>
      <c r="KND534" s="69"/>
      <c r="KNE534" s="69"/>
      <c r="KNF534" s="69"/>
      <c r="KNG534" s="69"/>
      <c r="KNH534" s="69"/>
      <c r="KNI534" s="69"/>
      <c r="KNJ534" s="69"/>
      <c r="KNK534" s="69"/>
      <c r="KNL534" s="69"/>
      <c r="KNM534" s="69"/>
      <c r="KNN534" s="69"/>
      <c r="KNO534" s="69"/>
      <c r="KNP534" s="69"/>
      <c r="KNQ534" s="69"/>
      <c r="KNR534" s="69"/>
      <c r="KNS534" s="69"/>
      <c r="KNT534" s="69"/>
      <c r="KNU534" s="69"/>
      <c r="KNV534" s="69"/>
      <c r="KNW534" s="69"/>
      <c r="KNX534" s="69"/>
      <c r="KNY534" s="69"/>
      <c r="KNZ534" s="69"/>
      <c r="KOA534" s="69"/>
      <c r="KOB534" s="69"/>
      <c r="KOC534" s="69"/>
      <c r="KOD534" s="69"/>
      <c r="KOE534" s="69"/>
      <c r="KOF534" s="69"/>
      <c r="KOG534" s="69"/>
      <c r="KOH534" s="69"/>
      <c r="KOI534" s="69"/>
      <c r="KOJ534" s="69"/>
      <c r="KOK534" s="69"/>
      <c r="KOL534" s="69"/>
      <c r="KOM534" s="69"/>
      <c r="KON534" s="69"/>
      <c r="KOO534" s="69"/>
      <c r="KOP534" s="69"/>
      <c r="KOQ534" s="69"/>
      <c r="KOR534" s="69"/>
      <c r="KOS534" s="69"/>
      <c r="KOT534" s="69"/>
      <c r="KOU534" s="69"/>
      <c r="KOV534" s="69"/>
      <c r="KOW534" s="69"/>
      <c r="KOX534" s="69"/>
      <c r="KOY534" s="69"/>
      <c r="KOZ534" s="69"/>
      <c r="KPA534" s="69"/>
      <c r="KPB534" s="69"/>
      <c r="KPC534" s="69"/>
      <c r="KPD534" s="69"/>
      <c r="KPE534" s="69"/>
      <c r="KPF534" s="69"/>
      <c r="KPG534" s="69"/>
      <c r="KPH534" s="69"/>
      <c r="KPI534" s="69"/>
      <c r="KPJ534" s="69"/>
      <c r="KPK534" s="69"/>
      <c r="KPL534" s="69"/>
      <c r="KPM534" s="69"/>
      <c r="KPN534" s="69"/>
      <c r="KPO534" s="69"/>
      <c r="KPP534" s="69"/>
      <c r="KPQ534" s="69"/>
      <c r="KPR534" s="69"/>
      <c r="KPS534" s="69"/>
      <c r="KPT534" s="69"/>
      <c r="KPU534" s="69"/>
      <c r="KPV534" s="69"/>
      <c r="KPW534" s="69"/>
      <c r="KPX534" s="69"/>
      <c r="KPY534" s="69"/>
      <c r="KPZ534" s="69"/>
      <c r="KQA534" s="69"/>
      <c r="KQB534" s="69"/>
      <c r="KQC534" s="69"/>
      <c r="KQD534" s="69"/>
      <c r="KQE534" s="69"/>
      <c r="KQF534" s="69"/>
      <c r="KQG534" s="69"/>
      <c r="KQH534" s="69"/>
      <c r="KQI534" s="69"/>
      <c r="KQJ534" s="69"/>
      <c r="KQK534" s="69"/>
      <c r="KQL534" s="69"/>
      <c r="KQM534" s="69"/>
      <c r="KQN534" s="69"/>
      <c r="KQO534" s="69"/>
      <c r="KQP534" s="69"/>
      <c r="KQQ534" s="69"/>
      <c r="KQR534" s="69"/>
      <c r="KQS534" s="69"/>
      <c r="KQT534" s="69"/>
      <c r="KQU534" s="69"/>
      <c r="KQV534" s="69"/>
      <c r="KQW534" s="69"/>
      <c r="KQX534" s="69"/>
      <c r="KQY534" s="69"/>
      <c r="KQZ534" s="69"/>
      <c r="KRA534" s="69"/>
      <c r="KRB534" s="69"/>
      <c r="KRC534" s="69"/>
      <c r="KRD534" s="69"/>
      <c r="KRE534" s="69"/>
      <c r="KRF534" s="69"/>
      <c r="KRG534" s="69"/>
      <c r="KRH534" s="69"/>
      <c r="KRI534" s="69"/>
      <c r="KRJ534" s="69"/>
      <c r="KRK534" s="69"/>
      <c r="KRL534" s="69"/>
      <c r="KRM534" s="69"/>
      <c r="KRN534" s="69"/>
      <c r="KRO534" s="69"/>
      <c r="KRP534" s="69"/>
      <c r="KRQ534" s="69"/>
      <c r="KRR534" s="69"/>
      <c r="KRS534" s="69"/>
      <c r="KRT534" s="69"/>
      <c r="KRU534" s="69"/>
      <c r="KRV534" s="69"/>
      <c r="KRW534" s="69"/>
      <c r="KRX534" s="69"/>
      <c r="KRY534" s="69"/>
      <c r="KRZ534" s="69"/>
      <c r="KSA534" s="69"/>
      <c r="KSB534" s="69"/>
      <c r="KSC534" s="69"/>
      <c r="KSD534" s="69"/>
      <c r="KSE534" s="69"/>
      <c r="KSF534" s="69"/>
      <c r="KSG534" s="69"/>
      <c r="KSH534" s="69"/>
      <c r="KSI534" s="69"/>
      <c r="KSJ534" s="69"/>
      <c r="KSK534" s="69"/>
      <c r="KSL534" s="69"/>
      <c r="KSM534" s="69"/>
      <c r="KSN534" s="69"/>
      <c r="KSO534" s="69"/>
      <c r="KSP534" s="69"/>
      <c r="KSQ534" s="69"/>
      <c r="KSR534" s="69"/>
      <c r="KSS534" s="69"/>
      <c r="KST534" s="69"/>
      <c r="KSU534" s="69"/>
      <c r="KSV534" s="69"/>
      <c r="KSW534" s="69"/>
      <c r="KSX534" s="69"/>
      <c r="KSY534" s="69"/>
      <c r="KSZ534" s="69"/>
      <c r="KTA534" s="69"/>
      <c r="KTB534" s="69"/>
      <c r="KTC534" s="69"/>
      <c r="KTD534" s="69"/>
      <c r="KTE534" s="69"/>
      <c r="KTF534" s="69"/>
      <c r="KTG534" s="69"/>
      <c r="KTH534" s="69"/>
      <c r="KTI534" s="69"/>
      <c r="KTJ534" s="69"/>
      <c r="KTK534" s="69"/>
      <c r="KTL534" s="69"/>
      <c r="KTM534" s="69"/>
      <c r="KTN534" s="69"/>
      <c r="KTO534" s="69"/>
      <c r="KTP534" s="69"/>
      <c r="KTQ534" s="69"/>
      <c r="KTR534" s="69"/>
      <c r="KTS534" s="69"/>
      <c r="KTT534" s="69"/>
      <c r="KTU534" s="69"/>
      <c r="KTV534" s="69"/>
      <c r="KTW534" s="69"/>
      <c r="KTX534" s="69"/>
      <c r="KTY534" s="69"/>
      <c r="KTZ534" s="69"/>
      <c r="KUA534" s="69"/>
      <c r="KUB534" s="69"/>
      <c r="KUC534" s="69"/>
      <c r="KUD534" s="69"/>
      <c r="KUE534" s="69"/>
      <c r="KUF534" s="69"/>
      <c r="KUG534" s="69"/>
      <c r="KUH534" s="69"/>
      <c r="KUI534" s="69"/>
      <c r="KUJ534" s="69"/>
      <c r="KUK534" s="69"/>
      <c r="KUL534" s="69"/>
      <c r="KUM534" s="69"/>
      <c r="KUN534" s="69"/>
      <c r="KUO534" s="69"/>
      <c r="KUP534" s="69"/>
      <c r="KUQ534" s="69"/>
      <c r="KUR534" s="69"/>
      <c r="KUS534" s="69"/>
      <c r="KUT534" s="69"/>
      <c r="KUU534" s="69"/>
      <c r="KUV534" s="69"/>
      <c r="KUW534" s="69"/>
      <c r="KUX534" s="69"/>
      <c r="KUY534" s="69"/>
      <c r="KUZ534" s="69"/>
      <c r="KVA534" s="69"/>
      <c r="KVB534" s="69"/>
      <c r="KVC534" s="69"/>
      <c r="KVD534" s="69"/>
      <c r="KVE534" s="69"/>
      <c r="KVF534" s="69"/>
      <c r="KVG534" s="69"/>
      <c r="KVH534" s="69"/>
      <c r="KVI534" s="69"/>
      <c r="KVJ534" s="69"/>
      <c r="KVK534" s="69"/>
      <c r="KVL534" s="69"/>
      <c r="KVM534" s="69"/>
      <c r="KVN534" s="69"/>
      <c r="KVO534" s="69"/>
      <c r="KVP534" s="69"/>
      <c r="KVQ534" s="69"/>
      <c r="KVR534" s="69"/>
      <c r="KVS534" s="69"/>
      <c r="KVT534" s="69"/>
      <c r="KVU534" s="69"/>
      <c r="KVV534" s="69"/>
      <c r="KVW534" s="69"/>
      <c r="KVX534" s="69"/>
      <c r="KVY534" s="69"/>
      <c r="KVZ534" s="69"/>
      <c r="KWA534" s="69"/>
      <c r="KWB534" s="69"/>
      <c r="KWC534" s="69"/>
      <c r="KWD534" s="69"/>
      <c r="KWE534" s="69"/>
      <c r="KWF534" s="69"/>
      <c r="KWG534" s="69"/>
      <c r="KWH534" s="69"/>
      <c r="KWI534" s="69"/>
      <c r="KWJ534" s="69"/>
      <c r="KWK534" s="69"/>
      <c r="KWL534" s="69"/>
      <c r="KWM534" s="69"/>
      <c r="KWN534" s="69"/>
      <c r="KWO534" s="69"/>
      <c r="KWP534" s="69"/>
      <c r="KWQ534" s="69"/>
      <c r="KWR534" s="69"/>
      <c r="KWS534" s="69"/>
      <c r="KWT534" s="69"/>
      <c r="KWU534" s="69"/>
      <c r="KWV534" s="69"/>
      <c r="KWW534" s="69"/>
      <c r="KWX534" s="69"/>
      <c r="KWY534" s="69"/>
      <c r="KWZ534" s="69"/>
      <c r="KXA534" s="69"/>
      <c r="KXB534" s="69"/>
      <c r="KXC534" s="69"/>
      <c r="KXD534" s="69"/>
      <c r="KXE534" s="69"/>
      <c r="KXF534" s="69"/>
      <c r="KXG534" s="69"/>
      <c r="KXH534" s="69"/>
      <c r="KXI534" s="69"/>
      <c r="KXJ534" s="69"/>
      <c r="KXK534" s="69"/>
      <c r="KXL534" s="69"/>
      <c r="KXM534" s="69"/>
      <c r="KXN534" s="69"/>
      <c r="KXO534" s="69"/>
      <c r="KXP534" s="69"/>
      <c r="KXQ534" s="69"/>
      <c r="KXR534" s="69"/>
      <c r="KXS534" s="69"/>
      <c r="KXT534" s="69"/>
      <c r="KXU534" s="69"/>
      <c r="KXV534" s="69"/>
      <c r="KXW534" s="69"/>
      <c r="KXX534" s="69"/>
      <c r="KXY534" s="69"/>
      <c r="KXZ534" s="69"/>
      <c r="KYA534" s="69"/>
      <c r="KYB534" s="69"/>
      <c r="KYC534" s="69"/>
      <c r="KYD534" s="69"/>
      <c r="KYE534" s="69"/>
      <c r="KYF534" s="69"/>
      <c r="KYG534" s="69"/>
      <c r="KYH534" s="69"/>
      <c r="KYI534" s="69"/>
      <c r="KYJ534" s="69"/>
      <c r="KYK534" s="69"/>
      <c r="KYL534" s="69"/>
      <c r="KYM534" s="69"/>
      <c r="KYN534" s="69"/>
      <c r="KYO534" s="69"/>
      <c r="KYP534" s="69"/>
      <c r="KYQ534" s="69"/>
      <c r="KYR534" s="69"/>
      <c r="KYS534" s="69"/>
      <c r="KYT534" s="69"/>
      <c r="KYU534" s="69"/>
      <c r="KYV534" s="69"/>
      <c r="KYW534" s="69"/>
      <c r="KYX534" s="69"/>
      <c r="KYY534" s="69"/>
      <c r="KYZ534" s="69"/>
      <c r="KZA534" s="69"/>
      <c r="KZB534" s="69"/>
      <c r="KZC534" s="69"/>
      <c r="KZD534" s="69"/>
      <c r="KZE534" s="69"/>
      <c r="KZF534" s="69"/>
      <c r="KZG534" s="69"/>
      <c r="KZH534" s="69"/>
      <c r="KZI534" s="69"/>
      <c r="KZJ534" s="69"/>
      <c r="KZK534" s="69"/>
      <c r="KZL534" s="69"/>
      <c r="KZM534" s="69"/>
      <c r="KZN534" s="69"/>
      <c r="KZO534" s="69"/>
      <c r="KZP534" s="69"/>
      <c r="KZQ534" s="69"/>
      <c r="KZR534" s="69"/>
      <c r="KZS534" s="69"/>
      <c r="KZT534" s="69"/>
      <c r="KZU534" s="69"/>
      <c r="KZV534" s="69"/>
      <c r="KZW534" s="69"/>
      <c r="KZX534" s="69"/>
      <c r="KZY534" s="69"/>
      <c r="KZZ534" s="69"/>
      <c r="LAA534" s="69"/>
      <c r="LAB534" s="69"/>
      <c r="LAC534" s="69"/>
      <c r="LAD534" s="69"/>
      <c r="LAE534" s="69"/>
      <c r="LAF534" s="69"/>
      <c r="LAG534" s="69"/>
      <c r="LAH534" s="69"/>
      <c r="LAI534" s="69"/>
      <c r="LAJ534" s="69"/>
      <c r="LAK534" s="69"/>
      <c r="LAL534" s="69"/>
      <c r="LAM534" s="69"/>
      <c r="LAN534" s="69"/>
      <c r="LAO534" s="69"/>
      <c r="LAP534" s="69"/>
      <c r="LAQ534" s="69"/>
      <c r="LAR534" s="69"/>
      <c r="LAS534" s="69"/>
      <c r="LAT534" s="69"/>
      <c r="LAU534" s="69"/>
      <c r="LAV534" s="69"/>
      <c r="LAW534" s="69"/>
      <c r="LAX534" s="69"/>
      <c r="LAY534" s="69"/>
      <c r="LAZ534" s="69"/>
      <c r="LBA534" s="69"/>
      <c r="LBB534" s="69"/>
      <c r="LBC534" s="69"/>
      <c r="LBD534" s="69"/>
      <c r="LBE534" s="69"/>
      <c r="LBF534" s="69"/>
      <c r="LBG534" s="69"/>
      <c r="LBH534" s="69"/>
      <c r="LBI534" s="69"/>
      <c r="LBJ534" s="69"/>
      <c r="LBK534" s="69"/>
      <c r="LBL534" s="69"/>
      <c r="LBM534" s="69"/>
      <c r="LBN534" s="69"/>
      <c r="LBO534" s="69"/>
      <c r="LBP534" s="69"/>
      <c r="LBQ534" s="69"/>
      <c r="LBR534" s="69"/>
      <c r="LBS534" s="69"/>
      <c r="LBT534" s="69"/>
      <c r="LBU534" s="69"/>
      <c r="LBV534" s="69"/>
      <c r="LBW534" s="69"/>
      <c r="LBX534" s="69"/>
      <c r="LBY534" s="69"/>
      <c r="LBZ534" s="69"/>
      <c r="LCA534" s="69"/>
      <c r="LCB534" s="69"/>
      <c r="LCC534" s="69"/>
      <c r="LCD534" s="69"/>
      <c r="LCE534" s="69"/>
      <c r="LCF534" s="69"/>
      <c r="LCG534" s="69"/>
      <c r="LCH534" s="69"/>
      <c r="LCI534" s="69"/>
      <c r="LCJ534" s="69"/>
      <c r="LCK534" s="69"/>
      <c r="LCL534" s="69"/>
      <c r="LCM534" s="69"/>
      <c r="LCN534" s="69"/>
      <c r="LCO534" s="69"/>
      <c r="LCP534" s="69"/>
      <c r="LCQ534" s="69"/>
      <c r="LCR534" s="69"/>
      <c r="LCS534" s="69"/>
      <c r="LCT534" s="69"/>
      <c r="LCU534" s="69"/>
      <c r="LCV534" s="69"/>
      <c r="LCW534" s="69"/>
      <c r="LCX534" s="69"/>
      <c r="LCY534" s="69"/>
      <c r="LCZ534" s="69"/>
      <c r="LDA534" s="69"/>
      <c r="LDB534" s="69"/>
      <c r="LDC534" s="69"/>
      <c r="LDD534" s="69"/>
      <c r="LDE534" s="69"/>
      <c r="LDF534" s="69"/>
      <c r="LDG534" s="69"/>
      <c r="LDH534" s="69"/>
      <c r="LDI534" s="69"/>
      <c r="LDJ534" s="69"/>
      <c r="LDK534" s="69"/>
      <c r="LDL534" s="69"/>
      <c r="LDM534" s="69"/>
      <c r="LDN534" s="69"/>
      <c r="LDO534" s="69"/>
      <c r="LDP534" s="69"/>
      <c r="LDQ534" s="69"/>
      <c r="LDR534" s="69"/>
      <c r="LDS534" s="69"/>
      <c r="LDT534" s="69"/>
      <c r="LDU534" s="69"/>
      <c r="LDV534" s="69"/>
      <c r="LDW534" s="69"/>
      <c r="LDX534" s="69"/>
      <c r="LDY534" s="69"/>
      <c r="LDZ534" s="69"/>
      <c r="LEA534" s="69"/>
      <c r="LEB534" s="69"/>
      <c r="LEC534" s="69"/>
      <c r="LED534" s="69"/>
      <c r="LEE534" s="69"/>
      <c r="LEF534" s="69"/>
      <c r="LEG534" s="69"/>
      <c r="LEH534" s="69"/>
      <c r="LEI534" s="69"/>
      <c r="LEJ534" s="69"/>
      <c r="LEK534" s="69"/>
      <c r="LEL534" s="69"/>
      <c r="LEM534" s="69"/>
      <c r="LEN534" s="69"/>
      <c r="LEO534" s="69"/>
      <c r="LEP534" s="69"/>
      <c r="LEQ534" s="69"/>
      <c r="LER534" s="69"/>
      <c r="LES534" s="69"/>
      <c r="LET534" s="69"/>
      <c r="LEU534" s="69"/>
      <c r="LEV534" s="69"/>
      <c r="LEW534" s="69"/>
      <c r="LEX534" s="69"/>
      <c r="LEY534" s="69"/>
      <c r="LEZ534" s="69"/>
      <c r="LFA534" s="69"/>
      <c r="LFB534" s="69"/>
      <c r="LFC534" s="69"/>
      <c r="LFD534" s="69"/>
      <c r="LFE534" s="69"/>
      <c r="LFF534" s="69"/>
      <c r="LFG534" s="69"/>
      <c r="LFH534" s="69"/>
      <c r="LFI534" s="69"/>
      <c r="LFJ534" s="69"/>
      <c r="LFK534" s="69"/>
      <c r="LFL534" s="69"/>
      <c r="LFM534" s="69"/>
      <c r="LFN534" s="69"/>
      <c r="LFO534" s="69"/>
      <c r="LFP534" s="69"/>
      <c r="LFQ534" s="69"/>
      <c r="LFR534" s="69"/>
      <c r="LFS534" s="69"/>
      <c r="LFT534" s="69"/>
      <c r="LFU534" s="69"/>
      <c r="LFV534" s="69"/>
      <c r="LFW534" s="69"/>
      <c r="LFX534" s="69"/>
      <c r="LFY534" s="69"/>
      <c r="LFZ534" s="69"/>
      <c r="LGA534" s="69"/>
      <c r="LGB534" s="69"/>
      <c r="LGC534" s="69"/>
      <c r="LGD534" s="69"/>
      <c r="LGE534" s="69"/>
      <c r="LGF534" s="69"/>
      <c r="LGG534" s="69"/>
      <c r="LGH534" s="69"/>
      <c r="LGI534" s="69"/>
      <c r="LGJ534" s="69"/>
      <c r="LGK534" s="69"/>
      <c r="LGL534" s="69"/>
      <c r="LGM534" s="69"/>
      <c r="LGN534" s="69"/>
      <c r="LGO534" s="69"/>
      <c r="LGP534" s="69"/>
      <c r="LGQ534" s="69"/>
      <c r="LGR534" s="69"/>
      <c r="LGS534" s="69"/>
      <c r="LGT534" s="69"/>
      <c r="LGU534" s="69"/>
      <c r="LGV534" s="69"/>
      <c r="LGW534" s="69"/>
      <c r="LGX534" s="69"/>
      <c r="LGY534" s="69"/>
      <c r="LGZ534" s="69"/>
      <c r="LHA534" s="69"/>
      <c r="LHB534" s="69"/>
      <c r="LHC534" s="69"/>
      <c r="LHD534" s="69"/>
      <c r="LHE534" s="69"/>
      <c r="LHF534" s="69"/>
      <c r="LHG534" s="69"/>
      <c r="LHH534" s="69"/>
      <c r="LHI534" s="69"/>
      <c r="LHJ534" s="69"/>
      <c r="LHK534" s="69"/>
      <c r="LHL534" s="69"/>
      <c r="LHM534" s="69"/>
      <c r="LHN534" s="69"/>
      <c r="LHO534" s="69"/>
      <c r="LHP534" s="69"/>
      <c r="LHQ534" s="69"/>
      <c r="LHR534" s="69"/>
      <c r="LHS534" s="69"/>
      <c r="LHT534" s="69"/>
      <c r="LHU534" s="69"/>
      <c r="LHV534" s="69"/>
      <c r="LHW534" s="69"/>
      <c r="LHX534" s="69"/>
      <c r="LHY534" s="69"/>
      <c r="LHZ534" s="69"/>
      <c r="LIA534" s="69"/>
      <c r="LIB534" s="69"/>
      <c r="LIC534" s="69"/>
      <c r="LID534" s="69"/>
      <c r="LIE534" s="69"/>
      <c r="LIF534" s="69"/>
      <c r="LIG534" s="69"/>
      <c r="LIH534" s="69"/>
      <c r="LII534" s="69"/>
      <c r="LIJ534" s="69"/>
      <c r="LIK534" s="69"/>
      <c r="LIL534" s="69"/>
      <c r="LIM534" s="69"/>
      <c r="LIN534" s="69"/>
      <c r="LIO534" s="69"/>
      <c r="LIP534" s="69"/>
      <c r="LIQ534" s="69"/>
      <c r="LIR534" s="69"/>
      <c r="LIS534" s="69"/>
      <c r="LIT534" s="69"/>
      <c r="LIU534" s="69"/>
      <c r="LIV534" s="69"/>
      <c r="LIW534" s="69"/>
      <c r="LIX534" s="69"/>
      <c r="LIY534" s="69"/>
      <c r="LIZ534" s="69"/>
      <c r="LJA534" s="69"/>
      <c r="LJB534" s="69"/>
      <c r="LJC534" s="69"/>
      <c r="LJD534" s="69"/>
      <c r="LJE534" s="69"/>
      <c r="LJF534" s="69"/>
      <c r="LJG534" s="69"/>
      <c r="LJH534" s="69"/>
      <c r="LJI534" s="69"/>
      <c r="LJJ534" s="69"/>
      <c r="LJK534" s="69"/>
      <c r="LJL534" s="69"/>
      <c r="LJM534" s="69"/>
      <c r="LJN534" s="69"/>
      <c r="LJO534" s="69"/>
      <c r="LJP534" s="69"/>
      <c r="LJQ534" s="69"/>
      <c r="LJR534" s="69"/>
      <c r="LJS534" s="69"/>
      <c r="LJT534" s="69"/>
      <c r="LJU534" s="69"/>
      <c r="LJV534" s="69"/>
      <c r="LJW534" s="69"/>
      <c r="LJX534" s="69"/>
      <c r="LJY534" s="69"/>
      <c r="LJZ534" s="69"/>
      <c r="LKA534" s="69"/>
      <c r="LKB534" s="69"/>
      <c r="LKC534" s="69"/>
      <c r="LKD534" s="69"/>
      <c r="LKE534" s="69"/>
      <c r="LKF534" s="69"/>
      <c r="LKG534" s="69"/>
      <c r="LKH534" s="69"/>
      <c r="LKI534" s="69"/>
      <c r="LKJ534" s="69"/>
      <c r="LKK534" s="69"/>
      <c r="LKL534" s="69"/>
      <c r="LKM534" s="69"/>
      <c r="LKN534" s="69"/>
      <c r="LKO534" s="69"/>
      <c r="LKP534" s="69"/>
      <c r="LKQ534" s="69"/>
      <c r="LKR534" s="69"/>
      <c r="LKS534" s="69"/>
      <c r="LKT534" s="69"/>
      <c r="LKU534" s="69"/>
      <c r="LKV534" s="69"/>
      <c r="LKW534" s="69"/>
      <c r="LKX534" s="69"/>
      <c r="LKY534" s="69"/>
      <c r="LKZ534" s="69"/>
      <c r="LLA534" s="69"/>
      <c r="LLB534" s="69"/>
      <c r="LLC534" s="69"/>
      <c r="LLD534" s="69"/>
      <c r="LLE534" s="69"/>
      <c r="LLF534" s="69"/>
      <c r="LLG534" s="69"/>
      <c r="LLH534" s="69"/>
      <c r="LLI534" s="69"/>
      <c r="LLJ534" s="69"/>
      <c r="LLK534" s="69"/>
      <c r="LLL534" s="69"/>
      <c r="LLM534" s="69"/>
      <c r="LLN534" s="69"/>
      <c r="LLO534" s="69"/>
      <c r="LLP534" s="69"/>
      <c r="LLQ534" s="69"/>
      <c r="LLR534" s="69"/>
      <c r="LLS534" s="69"/>
      <c r="LLT534" s="69"/>
      <c r="LLU534" s="69"/>
      <c r="LLV534" s="69"/>
      <c r="LLW534" s="69"/>
      <c r="LLX534" s="69"/>
      <c r="LLY534" s="69"/>
      <c r="LLZ534" s="69"/>
      <c r="LMA534" s="69"/>
      <c r="LMB534" s="69"/>
      <c r="LMC534" s="69"/>
      <c r="LMD534" s="69"/>
      <c r="LME534" s="69"/>
      <c r="LMF534" s="69"/>
      <c r="LMG534" s="69"/>
      <c r="LMH534" s="69"/>
      <c r="LMI534" s="69"/>
      <c r="LMJ534" s="69"/>
      <c r="LMK534" s="69"/>
      <c r="LML534" s="69"/>
      <c r="LMM534" s="69"/>
      <c r="LMN534" s="69"/>
      <c r="LMO534" s="69"/>
      <c r="LMP534" s="69"/>
      <c r="LMQ534" s="69"/>
      <c r="LMR534" s="69"/>
      <c r="LMS534" s="69"/>
      <c r="LMT534" s="69"/>
      <c r="LMU534" s="69"/>
      <c r="LMV534" s="69"/>
      <c r="LMW534" s="69"/>
      <c r="LMX534" s="69"/>
      <c r="LMY534" s="69"/>
      <c r="LMZ534" s="69"/>
      <c r="LNA534" s="69"/>
      <c r="LNB534" s="69"/>
      <c r="LNC534" s="69"/>
      <c r="LND534" s="69"/>
      <c r="LNE534" s="69"/>
      <c r="LNF534" s="69"/>
      <c r="LNG534" s="69"/>
      <c r="LNH534" s="69"/>
      <c r="LNI534" s="69"/>
      <c r="LNJ534" s="69"/>
      <c r="LNK534" s="69"/>
      <c r="LNL534" s="69"/>
      <c r="LNM534" s="69"/>
      <c r="LNN534" s="69"/>
      <c r="LNO534" s="69"/>
      <c r="LNP534" s="69"/>
      <c r="LNQ534" s="69"/>
      <c r="LNR534" s="69"/>
      <c r="LNS534" s="69"/>
      <c r="LNT534" s="69"/>
      <c r="LNU534" s="69"/>
      <c r="LNV534" s="69"/>
      <c r="LNW534" s="69"/>
      <c r="LNX534" s="69"/>
      <c r="LNY534" s="69"/>
      <c r="LNZ534" s="69"/>
      <c r="LOA534" s="69"/>
      <c r="LOB534" s="69"/>
      <c r="LOC534" s="69"/>
      <c r="LOD534" s="69"/>
      <c r="LOE534" s="69"/>
      <c r="LOF534" s="69"/>
      <c r="LOG534" s="69"/>
      <c r="LOH534" s="69"/>
      <c r="LOI534" s="69"/>
      <c r="LOJ534" s="69"/>
      <c r="LOK534" s="69"/>
      <c r="LOL534" s="69"/>
      <c r="LOM534" s="69"/>
      <c r="LON534" s="69"/>
      <c r="LOO534" s="69"/>
      <c r="LOP534" s="69"/>
      <c r="LOQ534" s="69"/>
      <c r="LOR534" s="69"/>
      <c r="LOS534" s="69"/>
      <c r="LOT534" s="69"/>
      <c r="LOU534" s="69"/>
      <c r="LOV534" s="69"/>
      <c r="LOW534" s="69"/>
      <c r="LOX534" s="69"/>
      <c r="LOY534" s="69"/>
      <c r="LOZ534" s="69"/>
      <c r="LPA534" s="69"/>
      <c r="LPB534" s="69"/>
      <c r="LPC534" s="69"/>
      <c r="LPD534" s="69"/>
      <c r="LPE534" s="69"/>
      <c r="LPF534" s="69"/>
      <c r="LPG534" s="69"/>
      <c r="LPH534" s="69"/>
      <c r="LPI534" s="69"/>
      <c r="LPJ534" s="69"/>
      <c r="LPK534" s="69"/>
      <c r="LPL534" s="69"/>
      <c r="LPM534" s="69"/>
      <c r="LPN534" s="69"/>
      <c r="LPO534" s="69"/>
      <c r="LPP534" s="69"/>
      <c r="LPQ534" s="69"/>
      <c r="LPR534" s="69"/>
      <c r="LPS534" s="69"/>
      <c r="LPT534" s="69"/>
      <c r="LPU534" s="69"/>
      <c r="LPV534" s="69"/>
      <c r="LPW534" s="69"/>
      <c r="LPX534" s="69"/>
      <c r="LPY534" s="69"/>
      <c r="LPZ534" s="69"/>
      <c r="LQA534" s="69"/>
      <c r="LQB534" s="69"/>
      <c r="LQC534" s="69"/>
      <c r="LQD534" s="69"/>
      <c r="LQE534" s="69"/>
      <c r="LQF534" s="69"/>
      <c r="LQG534" s="69"/>
      <c r="LQH534" s="69"/>
      <c r="LQI534" s="69"/>
      <c r="LQJ534" s="69"/>
      <c r="LQK534" s="69"/>
      <c r="LQL534" s="69"/>
      <c r="LQM534" s="69"/>
      <c r="LQN534" s="69"/>
      <c r="LQO534" s="69"/>
      <c r="LQP534" s="69"/>
      <c r="LQQ534" s="69"/>
      <c r="LQR534" s="69"/>
      <c r="LQS534" s="69"/>
      <c r="LQT534" s="69"/>
      <c r="LQU534" s="69"/>
      <c r="LQV534" s="69"/>
      <c r="LQW534" s="69"/>
      <c r="LQX534" s="69"/>
      <c r="LQY534" s="69"/>
      <c r="LQZ534" s="69"/>
      <c r="LRA534" s="69"/>
      <c r="LRB534" s="69"/>
      <c r="LRC534" s="69"/>
      <c r="LRD534" s="69"/>
      <c r="LRE534" s="69"/>
      <c r="LRF534" s="69"/>
      <c r="LRG534" s="69"/>
      <c r="LRH534" s="69"/>
      <c r="LRI534" s="69"/>
      <c r="LRJ534" s="69"/>
      <c r="LRK534" s="69"/>
      <c r="LRL534" s="69"/>
      <c r="LRM534" s="69"/>
      <c r="LRN534" s="69"/>
      <c r="LRO534" s="69"/>
      <c r="LRP534" s="69"/>
      <c r="LRQ534" s="69"/>
      <c r="LRR534" s="69"/>
      <c r="LRS534" s="69"/>
      <c r="LRT534" s="69"/>
      <c r="LRU534" s="69"/>
      <c r="LRV534" s="69"/>
      <c r="LRW534" s="69"/>
      <c r="LRX534" s="69"/>
      <c r="LRY534" s="69"/>
      <c r="LRZ534" s="69"/>
      <c r="LSA534" s="69"/>
      <c r="LSB534" s="69"/>
      <c r="LSC534" s="69"/>
      <c r="LSD534" s="69"/>
      <c r="LSE534" s="69"/>
      <c r="LSF534" s="69"/>
      <c r="LSG534" s="69"/>
      <c r="LSH534" s="69"/>
      <c r="LSI534" s="69"/>
      <c r="LSJ534" s="69"/>
      <c r="LSK534" s="69"/>
      <c r="LSL534" s="69"/>
      <c r="LSM534" s="69"/>
      <c r="LSN534" s="69"/>
      <c r="LSO534" s="69"/>
      <c r="LSP534" s="69"/>
      <c r="LSQ534" s="69"/>
      <c r="LSR534" s="69"/>
      <c r="LSS534" s="69"/>
      <c r="LST534" s="69"/>
      <c r="LSU534" s="69"/>
      <c r="LSV534" s="69"/>
      <c r="LSW534" s="69"/>
      <c r="LSX534" s="69"/>
      <c r="LSY534" s="69"/>
      <c r="LSZ534" s="69"/>
      <c r="LTA534" s="69"/>
      <c r="LTB534" s="69"/>
      <c r="LTC534" s="69"/>
      <c r="LTD534" s="69"/>
      <c r="LTE534" s="69"/>
      <c r="LTF534" s="69"/>
      <c r="LTG534" s="69"/>
      <c r="LTH534" s="69"/>
      <c r="LTI534" s="69"/>
      <c r="LTJ534" s="69"/>
      <c r="LTK534" s="69"/>
      <c r="LTL534" s="69"/>
      <c r="LTM534" s="69"/>
      <c r="LTN534" s="69"/>
      <c r="LTO534" s="69"/>
      <c r="LTP534" s="69"/>
      <c r="LTQ534" s="69"/>
      <c r="LTR534" s="69"/>
      <c r="LTS534" s="69"/>
      <c r="LTT534" s="69"/>
      <c r="LTU534" s="69"/>
      <c r="LTV534" s="69"/>
      <c r="LTW534" s="69"/>
      <c r="LTX534" s="69"/>
      <c r="LTY534" s="69"/>
      <c r="LTZ534" s="69"/>
      <c r="LUA534" s="69"/>
      <c r="LUB534" s="69"/>
      <c r="LUC534" s="69"/>
      <c r="LUD534" s="69"/>
      <c r="LUE534" s="69"/>
      <c r="LUF534" s="69"/>
      <c r="LUG534" s="69"/>
      <c r="LUH534" s="69"/>
      <c r="LUI534" s="69"/>
      <c r="LUJ534" s="69"/>
      <c r="LUK534" s="69"/>
      <c r="LUL534" s="69"/>
      <c r="LUM534" s="69"/>
      <c r="LUN534" s="69"/>
      <c r="LUO534" s="69"/>
      <c r="LUP534" s="69"/>
      <c r="LUQ534" s="69"/>
      <c r="LUR534" s="69"/>
      <c r="LUS534" s="69"/>
      <c r="LUT534" s="69"/>
      <c r="LUU534" s="69"/>
      <c r="LUV534" s="69"/>
      <c r="LUW534" s="69"/>
      <c r="LUX534" s="69"/>
      <c r="LUY534" s="69"/>
      <c r="LUZ534" s="69"/>
      <c r="LVA534" s="69"/>
      <c r="LVB534" s="69"/>
      <c r="LVC534" s="69"/>
      <c r="LVD534" s="69"/>
      <c r="LVE534" s="69"/>
      <c r="LVF534" s="69"/>
      <c r="LVG534" s="69"/>
      <c r="LVH534" s="69"/>
      <c r="LVI534" s="69"/>
      <c r="LVJ534" s="69"/>
      <c r="LVK534" s="69"/>
      <c r="LVL534" s="69"/>
      <c r="LVM534" s="69"/>
      <c r="LVN534" s="69"/>
      <c r="LVO534" s="69"/>
      <c r="LVP534" s="69"/>
      <c r="LVQ534" s="69"/>
      <c r="LVR534" s="69"/>
      <c r="LVS534" s="69"/>
      <c r="LVT534" s="69"/>
      <c r="LVU534" s="69"/>
      <c r="LVV534" s="69"/>
      <c r="LVW534" s="69"/>
      <c r="LVX534" s="69"/>
      <c r="LVY534" s="69"/>
      <c r="LVZ534" s="69"/>
      <c r="LWA534" s="69"/>
      <c r="LWB534" s="69"/>
      <c r="LWC534" s="69"/>
      <c r="LWD534" s="69"/>
      <c r="LWE534" s="69"/>
      <c r="LWF534" s="69"/>
      <c r="LWG534" s="69"/>
      <c r="LWH534" s="69"/>
      <c r="LWI534" s="69"/>
      <c r="LWJ534" s="69"/>
      <c r="LWK534" s="69"/>
      <c r="LWL534" s="69"/>
      <c r="LWM534" s="69"/>
      <c r="LWN534" s="69"/>
      <c r="LWO534" s="69"/>
      <c r="LWP534" s="69"/>
      <c r="LWQ534" s="69"/>
      <c r="LWR534" s="69"/>
      <c r="LWS534" s="69"/>
      <c r="LWT534" s="69"/>
      <c r="LWU534" s="69"/>
      <c r="LWV534" s="69"/>
      <c r="LWW534" s="69"/>
      <c r="LWX534" s="69"/>
      <c r="LWY534" s="69"/>
      <c r="LWZ534" s="69"/>
      <c r="LXA534" s="69"/>
      <c r="LXB534" s="69"/>
      <c r="LXC534" s="69"/>
      <c r="LXD534" s="69"/>
      <c r="LXE534" s="69"/>
      <c r="LXF534" s="69"/>
      <c r="LXG534" s="69"/>
      <c r="LXH534" s="69"/>
      <c r="LXI534" s="69"/>
      <c r="LXJ534" s="69"/>
      <c r="LXK534" s="69"/>
      <c r="LXL534" s="69"/>
      <c r="LXM534" s="69"/>
      <c r="LXN534" s="69"/>
      <c r="LXO534" s="69"/>
      <c r="LXP534" s="69"/>
      <c r="LXQ534" s="69"/>
      <c r="LXR534" s="69"/>
      <c r="LXS534" s="69"/>
      <c r="LXT534" s="69"/>
      <c r="LXU534" s="69"/>
      <c r="LXV534" s="69"/>
      <c r="LXW534" s="69"/>
      <c r="LXX534" s="69"/>
      <c r="LXY534" s="69"/>
      <c r="LXZ534" s="69"/>
      <c r="LYA534" s="69"/>
      <c r="LYB534" s="69"/>
      <c r="LYC534" s="69"/>
      <c r="LYD534" s="69"/>
      <c r="LYE534" s="69"/>
      <c r="LYF534" s="69"/>
      <c r="LYG534" s="69"/>
      <c r="LYH534" s="69"/>
      <c r="LYI534" s="69"/>
      <c r="LYJ534" s="69"/>
      <c r="LYK534" s="69"/>
      <c r="LYL534" s="69"/>
      <c r="LYM534" s="69"/>
      <c r="LYN534" s="69"/>
      <c r="LYO534" s="69"/>
      <c r="LYP534" s="69"/>
      <c r="LYQ534" s="69"/>
      <c r="LYR534" s="69"/>
      <c r="LYS534" s="69"/>
      <c r="LYT534" s="69"/>
      <c r="LYU534" s="69"/>
      <c r="LYV534" s="69"/>
      <c r="LYW534" s="69"/>
      <c r="LYX534" s="69"/>
      <c r="LYY534" s="69"/>
      <c r="LYZ534" s="69"/>
      <c r="LZA534" s="69"/>
      <c r="LZB534" s="69"/>
      <c r="LZC534" s="69"/>
      <c r="LZD534" s="69"/>
      <c r="LZE534" s="69"/>
      <c r="LZF534" s="69"/>
      <c r="LZG534" s="69"/>
      <c r="LZH534" s="69"/>
      <c r="LZI534" s="69"/>
      <c r="LZJ534" s="69"/>
      <c r="LZK534" s="69"/>
      <c r="LZL534" s="69"/>
      <c r="LZM534" s="69"/>
      <c r="LZN534" s="69"/>
      <c r="LZO534" s="69"/>
      <c r="LZP534" s="69"/>
      <c r="LZQ534" s="69"/>
      <c r="LZR534" s="69"/>
      <c r="LZS534" s="69"/>
      <c r="LZT534" s="69"/>
      <c r="LZU534" s="69"/>
      <c r="LZV534" s="69"/>
      <c r="LZW534" s="69"/>
      <c r="LZX534" s="69"/>
      <c r="LZY534" s="69"/>
      <c r="LZZ534" s="69"/>
      <c r="MAA534" s="69"/>
      <c r="MAB534" s="69"/>
      <c r="MAC534" s="69"/>
      <c r="MAD534" s="69"/>
      <c r="MAE534" s="69"/>
      <c r="MAF534" s="69"/>
      <c r="MAG534" s="69"/>
      <c r="MAH534" s="69"/>
      <c r="MAI534" s="69"/>
      <c r="MAJ534" s="69"/>
      <c r="MAK534" s="69"/>
      <c r="MAL534" s="69"/>
      <c r="MAM534" s="69"/>
      <c r="MAN534" s="69"/>
      <c r="MAO534" s="69"/>
      <c r="MAP534" s="69"/>
      <c r="MAQ534" s="69"/>
      <c r="MAR534" s="69"/>
      <c r="MAS534" s="69"/>
      <c r="MAT534" s="69"/>
      <c r="MAU534" s="69"/>
      <c r="MAV534" s="69"/>
      <c r="MAW534" s="69"/>
      <c r="MAX534" s="69"/>
      <c r="MAY534" s="69"/>
      <c r="MAZ534" s="69"/>
      <c r="MBA534" s="69"/>
      <c r="MBB534" s="69"/>
      <c r="MBC534" s="69"/>
      <c r="MBD534" s="69"/>
      <c r="MBE534" s="69"/>
      <c r="MBF534" s="69"/>
      <c r="MBG534" s="69"/>
      <c r="MBH534" s="69"/>
      <c r="MBI534" s="69"/>
      <c r="MBJ534" s="69"/>
      <c r="MBK534" s="69"/>
      <c r="MBL534" s="69"/>
      <c r="MBM534" s="69"/>
      <c r="MBN534" s="69"/>
      <c r="MBO534" s="69"/>
      <c r="MBP534" s="69"/>
      <c r="MBQ534" s="69"/>
      <c r="MBR534" s="69"/>
      <c r="MBS534" s="69"/>
      <c r="MBT534" s="69"/>
      <c r="MBU534" s="69"/>
      <c r="MBV534" s="69"/>
      <c r="MBW534" s="69"/>
      <c r="MBX534" s="69"/>
      <c r="MBY534" s="69"/>
      <c r="MBZ534" s="69"/>
      <c r="MCA534" s="69"/>
      <c r="MCB534" s="69"/>
      <c r="MCC534" s="69"/>
      <c r="MCD534" s="69"/>
      <c r="MCE534" s="69"/>
      <c r="MCF534" s="69"/>
      <c r="MCG534" s="69"/>
      <c r="MCH534" s="69"/>
      <c r="MCI534" s="69"/>
      <c r="MCJ534" s="69"/>
      <c r="MCK534" s="69"/>
      <c r="MCL534" s="69"/>
      <c r="MCM534" s="69"/>
      <c r="MCN534" s="69"/>
      <c r="MCO534" s="69"/>
      <c r="MCP534" s="69"/>
      <c r="MCQ534" s="69"/>
      <c r="MCR534" s="69"/>
      <c r="MCS534" s="69"/>
      <c r="MCT534" s="69"/>
      <c r="MCU534" s="69"/>
      <c r="MCV534" s="69"/>
      <c r="MCW534" s="69"/>
      <c r="MCX534" s="69"/>
      <c r="MCY534" s="69"/>
      <c r="MCZ534" s="69"/>
      <c r="MDA534" s="69"/>
      <c r="MDB534" s="69"/>
      <c r="MDC534" s="69"/>
      <c r="MDD534" s="69"/>
      <c r="MDE534" s="69"/>
      <c r="MDF534" s="69"/>
      <c r="MDG534" s="69"/>
      <c r="MDH534" s="69"/>
      <c r="MDI534" s="69"/>
      <c r="MDJ534" s="69"/>
      <c r="MDK534" s="69"/>
      <c r="MDL534" s="69"/>
      <c r="MDM534" s="69"/>
      <c r="MDN534" s="69"/>
      <c r="MDO534" s="69"/>
      <c r="MDP534" s="69"/>
      <c r="MDQ534" s="69"/>
      <c r="MDR534" s="69"/>
      <c r="MDS534" s="69"/>
      <c r="MDT534" s="69"/>
      <c r="MDU534" s="69"/>
      <c r="MDV534" s="69"/>
      <c r="MDW534" s="69"/>
      <c r="MDX534" s="69"/>
      <c r="MDY534" s="69"/>
      <c r="MDZ534" s="69"/>
      <c r="MEA534" s="69"/>
      <c r="MEB534" s="69"/>
      <c r="MEC534" s="69"/>
      <c r="MED534" s="69"/>
      <c r="MEE534" s="69"/>
      <c r="MEF534" s="69"/>
      <c r="MEG534" s="69"/>
      <c r="MEH534" s="69"/>
      <c r="MEI534" s="69"/>
      <c r="MEJ534" s="69"/>
      <c r="MEK534" s="69"/>
      <c r="MEL534" s="69"/>
      <c r="MEM534" s="69"/>
      <c r="MEN534" s="69"/>
      <c r="MEO534" s="69"/>
      <c r="MEP534" s="69"/>
      <c r="MEQ534" s="69"/>
      <c r="MER534" s="69"/>
      <c r="MES534" s="69"/>
      <c r="MET534" s="69"/>
      <c r="MEU534" s="69"/>
      <c r="MEV534" s="69"/>
      <c r="MEW534" s="69"/>
      <c r="MEX534" s="69"/>
      <c r="MEY534" s="69"/>
      <c r="MEZ534" s="69"/>
      <c r="MFA534" s="69"/>
      <c r="MFB534" s="69"/>
      <c r="MFC534" s="69"/>
      <c r="MFD534" s="69"/>
      <c r="MFE534" s="69"/>
      <c r="MFF534" s="69"/>
      <c r="MFG534" s="69"/>
      <c r="MFH534" s="69"/>
      <c r="MFI534" s="69"/>
      <c r="MFJ534" s="69"/>
      <c r="MFK534" s="69"/>
      <c r="MFL534" s="69"/>
      <c r="MFM534" s="69"/>
      <c r="MFN534" s="69"/>
      <c r="MFO534" s="69"/>
      <c r="MFP534" s="69"/>
      <c r="MFQ534" s="69"/>
      <c r="MFR534" s="69"/>
      <c r="MFS534" s="69"/>
      <c r="MFT534" s="69"/>
      <c r="MFU534" s="69"/>
      <c r="MFV534" s="69"/>
      <c r="MFW534" s="69"/>
      <c r="MFX534" s="69"/>
      <c r="MFY534" s="69"/>
      <c r="MFZ534" s="69"/>
      <c r="MGA534" s="69"/>
      <c r="MGB534" s="69"/>
      <c r="MGC534" s="69"/>
      <c r="MGD534" s="69"/>
      <c r="MGE534" s="69"/>
      <c r="MGF534" s="69"/>
      <c r="MGG534" s="69"/>
      <c r="MGH534" s="69"/>
      <c r="MGI534" s="69"/>
      <c r="MGJ534" s="69"/>
      <c r="MGK534" s="69"/>
      <c r="MGL534" s="69"/>
      <c r="MGM534" s="69"/>
      <c r="MGN534" s="69"/>
      <c r="MGO534" s="69"/>
      <c r="MGP534" s="69"/>
      <c r="MGQ534" s="69"/>
      <c r="MGR534" s="69"/>
      <c r="MGS534" s="69"/>
      <c r="MGT534" s="69"/>
      <c r="MGU534" s="69"/>
      <c r="MGV534" s="69"/>
      <c r="MGW534" s="69"/>
      <c r="MGX534" s="69"/>
      <c r="MGY534" s="69"/>
      <c r="MGZ534" s="69"/>
      <c r="MHA534" s="69"/>
      <c r="MHB534" s="69"/>
      <c r="MHC534" s="69"/>
      <c r="MHD534" s="69"/>
      <c r="MHE534" s="69"/>
      <c r="MHF534" s="69"/>
      <c r="MHG534" s="69"/>
      <c r="MHH534" s="69"/>
      <c r="MHI534" s="69"/>
      <c r="MHJ534" s="69"/>
      <c r="MHK534" s="69"/>
      <c r="MHL534" s="69"/>
      <c r="MHM534" s="69"/>
      <c r="MHN534" s="69"/>
      <c r="MHO534" s="69"/>
      <c r="MHP534" s="69"/>
      <c r="MHQ534" s="69"/>
      <c r="MHR534" s="69"/>
      <c r="MHS534" s="69"/>
      <c r="MHT534" s="69"/>
      <c r="MHU534" s="69"/>
      <c r="MHV534" s="69"/>
      <c r="MHW534" s="69"/>
      <c r="MHX534" s="69"/>
      <c r="MHY534" s="69"/>
      <c r="MHZ534" s="69"/>
      <c r="MIA534" s="69"/>
      <c r="MIB534" s="69"/>
      <c r="MIC534" s="69"/>
      <c r="MID534" s="69"/>
      <c r="MIE534" s="69"/>
      <c r="MIF534" s="69"/>
      <c r="MIG534" s="69"/>
      <c r="MIH534" s="69"/>
      <c r="MII534" s="69"/>
      <c r="MIJ534" s="69"/>
      <c r="MIK534" s="69"/>
      <c r="MIL534" s="69"/>
      <c r="MIM534" s="69"/>
      <c r="MIN534" s="69"/>
      <c r="MIO534" s="69"/>
      <c r="MIP534" s="69"/>
      <c r="MIQ534" s="69"/>
      <c r="MIR534" s="69"/>
      <c r="MIS534" s="69"/>
      <c r="MIT534" s="69"/>
      <c r="MIU534" s="69"/>
      <c r="MIV534" s="69"/>
      <c r="MIW534" s="69"/>
      <c r="MIX534" s="69"/>
      <c r="MIY534" s="69"/>
      <c r="MIZ534" s="69"/>
      <c r="MJA534" s="69"/>
      <c r="MJB534" s="69"/>
      <c r="MJC534" s="69"/>
      <c r="MJD534" s="69"/>
      <c r="MJE534" s="69"/>
      <c r="MJF534" s="69"/>
      <c r="MJG534" s="69"/>
      <c r="MJH534" s="69"/>
      <c r="MJI534" s="69"/>
      <c r="MJJ534" s="69"/>
      <c r="MJK534" s="69"/>
      <c r="MJL534" s="69"/>
      <c r="MJM534" s="69"/>
      <c r="MJN534" s="69"/>
      <c r="MJO534" s="69"/>
      <c r="MJP534" s="69"/>
      <c r="MJQ534" s="69"/>
      <c r="MJR534" s="69"/>
      <c r="MJS534" s="69"/>
      <c r="MJT534" s="69"/>
      <c r="MJU534" s="69"/>
      <c r="MJV534" s="69"/>
      <c r="MJW534" s="69"/>
      <c r="MJX534" s="69"/>
      <c r="MJY534" s="69"/>
      <c r="MJZ534" s="69"/>
      <c r="MKA534" s="69"/>
      <c r="MKB534" s="69"/>
      <c r="MKC534" s="69"/>
      <c r="MKD534" s="69"/>
      <c r="MKE534" s="69"/>
      <c r="MKF534" s="69"/>
      <c r="MKG534" s="69"/>
      <c r="MKH534" s="69"/>
      <c r="MKI534" s="69"/>
      <c r="MKJ534" s="69"/>
      <c r="MKK534" s="69"/>
      <c r="MKL534" s="69"/>
      <c r="MKM534" s="69"/>
      <c r="MKN534" s="69"/>
      <c r="MKO534" s="69"/>
      <c r="MKP534" s="69"/>
      <c r="MKQ534" s="69"/>
      <c r="MKR534" s="69"/>
      <c r="MKS534" s="69"/>
      <c r="MKT534" s="69"/>
      <c r="MKU534" s="69"/>
      <c r="MKV534" s="69"/>
      <c r="MKW534" s="69"/>
      <c r="MKX534" s="69"/>
      <c r="MKY534" s="69"/>
      <c r="MKZ534" s="69"/>
      <c r="MLA534" s="69"/>
      <c r="MLB534" s="69"/>
      <c r="MLC534" s="69"/>
      <c r="MLD534" s="69"/>
      <c r="MLE534" s="69"/>
      <c r="MLF534" s="69"/>
      <c r="MLG534" s="69"/>
      <c r="MLH534" s="69"/>
      <c r="MLI534" s="69"/>
      <c r="MLJ534" s="69"/>
      <c r="MLK534" s="69"/>
      <c r="MLL534" s="69"/>
      <c r="MLM534" s="69"/>
      <c r="MLN534" s="69"/>
      <c r="MLO534" s="69"/>
      <c r="MLP534" s="69"/>
      <c r="MLQ534" s="69"/>
      <c r="MLR534" s="69"/>
      <c r="MLS534" s="69"/>
      <c r="MLT534" s="69"/>
      <c r="MLU534" s="69"/>
      <c r="MLV534" s="69"/>
      <c r="MLW534" s="69"/>
      <c r="MLX534" s="69"/>
      <c r="MLY534" s="69"/>
      <c r="MLZ534" s="69"/>
      <c r="MMA534" s="69"/>
      <c r="MMB534" s="69"/>
      <c r="MMC534" s="69"/>
      <c r="MMD534" s="69"/>
      <c r="MME534" s="69"/>
      <c r="MMF534" s="69"/>
      <c r="MMG534" s="69"/>
      <c r="MMH534" s="69"/>
      <c r="MMI534" s="69"/>
      <c r="MMJ534" s="69"/>
      <c r="MMK534" s="69"/>
      <c r="MML534" s="69"/>
      <c r="MMM534" s="69"/>
      <c r="MMN534" s="69"/>
      <c r="MMO534" s="69"/>
      <c r="MMP534" s="69"/>
      <c r="MMQ534" s="69"/>
      <c r="MMR534" s="69"/>
      <c r="MMS534" s="69"/>
      <c r="MMT534" s="69"/>
      <c r="MMU534" s="69"/>
      <c r="MMV534" s="69"/>
      <c r="MMW534" s="69"/>
      <c r="MMX534" s="69"/>
      <c r="MMY534" s="69"/>
      <c r="MMZ534" s="69"/>
      <c r="MNA534" s="69"/>
      <c r="MNB534" s="69"/>
      <c r="MNC534" s="69"/>
      <c r="MND534" s="69"/>
      <c r="MNE534" s="69"/>
      <c r="MNF534" s="69"/>
      <c r="MNG534" s="69"/>
      <c r="MNH534" s="69"/>
      <c r="MNI534" s="69"/>
      <c r="MNJ534" s="69"/>
      <c r="MNK534" s="69"/>
      <c r="MNL534" s="69"/>
      <c r="MNM534" s="69"/>
      <c r="MNN534" s="69"/>
      <c r="MNO534" s="69"/>
      <c r="MNP534" s="69"/>
      <c r="MNQ534" s="69"/>
      <c r="MNR534" s="69"/>
      <c r="MNS534" s="69"/>
      <c r="MNT534" s="69"/>
      <c r="MNU534" s="69"/>
      <c r="MNV534" s="69"/>
      <c r="MNW534" s="69"/>
      <c r="MNX534" s="69"/>
      <c r="MNY534" s="69"/>
      <c r="MNZ534" s="69"/>
      <c r="MOA534" s="69"/>
      <c r="MOB534" s="69"/>
      <c r="MOC534" s="69"/>
      <c r="MOD534" s="69"/>
      <c r="MOE534" s="69"/>
      <c r="MOF534" s="69"/>
      <c r="MOG534" s="69"/>
      <c r="MOH534" s="69"/>
      <c r="MOI534" s="69"/>
      <c r="MOJ534" s="69"/>
      <c r="MOK534" s="69"/>
      <c r="MOL534" s="69"/>
      <c r="MOM534" s="69"/>
      <c r="MON534" s="69"/>
      <c r="MOO534" s="69"/>
      <c r="MOP534" s="69"/>
      <c r="MOQ534" s="69"/>
      <c r="MOR534" s="69"/>
      <c r="MOS534" s="69"/>
      <c r="MOT534" s="69"/>
      <c r="MOU534" s="69"/>
      <c r="MOV534" s="69"/>
      <c r="MOW534" s="69"/>
      <c r="MOX534" s="69"/>
      <c r="MOY534" s="69"/>
      <c r="MOZ534" s="69"/>
      <c r="MPA534" s="69"/>
      <c r="MPB534" s="69"/>
      <c r="MPC534" s="69"/>
      <c r="MPD534" s="69"/>
      <c r="MPE534" s="69"/>
      <c r="MPF534" s="69"/>
      <c r="MPG534" s="69"/>
      <c r="MPH534" s="69"/>
      <c r="MPI534" s="69"/>
      <c r="MPJ534" s="69"/>
      <c r="MPK534" s="69"/>
      <c r="MPL534" s="69"/>
      <c r="MPM534" s="69"/>
      <c r="MPN534" s="69"/>
      <c r="MPO534" s="69"/>
      <c r="MPP534" s="69"/>
      <c r="MPQ534" s="69"/>
      <c r="MPR534" s="69"/>
      <c r="MPS534" s="69"/>
      <c r="MPT534" s="69"/>
      <c r="MPU534" s="69"/>
      <c r="MPV534" s="69"/>
      <c r="MPW534" s="69"/>
      <c r="MPX534" s="69"/>
      <c r="MPY534" s="69"/>
      <c r="MPZ534" s="69"/>
      <c r="MQA534" s="69"/>
      <c r="MQB534" s="69"/>
      <c r="MQC534" s="69"/>
      <c r="MQD534" s="69"/>
      <c r="MQE534" s="69"/>
      <c r="MQF534" s="69"/>
      <c r="MQG534" s="69"/>
      <c r="MQH534" s="69"/>
      <c r="MQI534" s="69"/>
      <c r="MQJ534" s="69"/>
      <c r="MQK534" s="69"/>
      <c r="MQL534" s="69"/>
      <c r="MQM534" s="69"/>
      <c r="MQN534" s="69"/>
      <c r="MQO534" s="69"/>
      <c r="MQP534" s="69"/>
      <c r="MQQ534" s="69"/>
      <c r="MQR534" s="69"/>
      <c r="MQS534" s="69"/>
      <c r="MQT534" s="69"/>
      <c r="MQU534" s="69"/>
      <c r="MQV534" s="69"/>
      <c r="MQW534" s="69"/>
      <c r="MQX534" s="69"/>
      <c r="MQY534" s="69"/>
      <c r="MQZ534" s="69"/>
      <c r="MRA534" s="69"/>
      <c r="MRB534" s="69"/>
      <c r="MRC534" s="69"/>
      <c r="MRD534" s="69"/>
      <c r="MRE534" s="69"/>
      <c r="MRF534" s="69"/>
      <c r="MRG534" s="69"/>
      <c r="MRH534" s="69"/>
      <c r="MRI534" s="69"/>
      <c r="MRJ534" s="69"/>
      <c r="MRK534" s="69"/>
      <c r="MRL534" s="69"/>
      <c r="MRM534" s="69"/>
      <c r="MRN534" s="69"/>
      <c r="MRO534" s="69"/>
      <c r="MRP534" s="69"/>
      <c r="MRQ534" s="69"/>
      <c r="MRR534" s="69"/>
      <c r="MRS534" s="69"/>
      <c r="MRT534" s="69"/>
      <c r="MRU534" s="69"/>
      <c r="MRV534" s="69"/>
      <c r="MRW534" s="69"/>
      <c r="MRX534" s="69"/>
      <c r="MRY534" s="69"/>
      <c r="MRZ534" s="69"/>
      <c r="MSA534" s="69"/>
      <c r="MSB534" s="69"/>
      <c r="MSC534" s="69"/>
      <c r="MSD534" s="69"/>
      <c r="MSE534" s="69"/>
      <c r="MSF534" s="69"/>
      <c r="MSG534" s="69"/>
      <c r="MSH534" s="69"/>
      <c r="MSI534" s="69"/>
      <c r="MSJ534" s="69"/>
      <c r="MSK534" s="69"/>
      <c r="MSL534" s="69"/>
      <c r="MSM534" s="69"/>
      <c r="MSN534" s="69"/>
      <c r="MSO534" s="69"/>
      <c r="MSP534" s="69"/>
      <c r="MSQ534" s="69"/>
      <c r="MSR534" s="69"/>
      <c r="MSS534" s="69"/>
      <c r="MST534" s="69"/>
      <c r="MSU534" s="69"/>
      <c r="MSV534" s="69"/>
      <c r="MSW534" s="69"/>
      <c r="MSX534" s="69"/>
      <c r="MSY534" s="69"/>
      <c r="MSZ534" s="69"/>
      <c r="MTA534" s="69"/>
      <c r="MTB534" s="69"/>
      <c r="MTC534" s="69"/>
      <c r="MTD534" s="69"/>
      <c r="MTE534" s="69"/>
      <c r="MTF534" s="69"/>
      <c r="MTG534" s="69"/>
      <c r="MTH534" s="69"/>
      <c r="MTI534" s="69"/>
      <c r="MTJ534" s="69"/>
      <c r="MTK534" s="69"/>
      <c r="MTL534" s="69"/>
      <c r="MTM534" s="69"/>
      <c r="MTN534" s="69"/>
      <c r="MTO534" s="69"/>
      <c r="MTP534" s="69"/>
      <c r="MTQ534" s="69"/>
      <c r="MTR534" s="69"/>
      <c r="MTS534" s="69"/>
      <c r="MTT534" s="69"/>
      <c r="MTU534" s="69"/>
      <c r="MTV534" s="69"/>
      <c r="MTW534" s="69"/>
      <c r="MTX534" s="69"/>
      <c r="MTY534" s="69"/>
      <c r="MTZ534" s="69"/>
      <c r="MUA534" s="69"/>
      <c r="MUB534" s="69"/>
      <c r="MUC534" s="69"/>
      <c r="MUD534" s="69"/>
      <c r="MUE534" s="69"/>
      <c r="MUF534" s="69"/>
      <c r="MUG534" s="69"/>
      <c r="MUH534" s="69"/>
      <c r="MUI534" s="69"/>
      <c r="MUJ534" s="69"/>
      <c r="MUK534" s="69"/>
      <c r="MUL534" s="69"/>
      <c r="MUM534" s="69"/>
      <c r="MUN534" s="69"/>
      <c r="MUO534" s="69"/>
      <c r="MUP534" s="69"/>
      <c r="MUQ534" s="69"/>
      <c r="MUR534" s="69"/>
      <c r="MUS534" s="69"/>
      <c r="MUT534" s="69"/>
      <c r="MUU534" s="69"/>
      <c r="MUV534" s="69"/>
      <c r="MUW534" s="69"/>
      <c r="MUX534" s="69"/>
      <c r="MUY534" s="69"/>
      <c r="MUZ534" s="69"/>
      <c r="MVA534" s="69"/>
      <c r="MVB534" s="69"/>
      <c r="MVC534" s="69"/>
      <c r="MVD534" s="69"/>
      <c r="MVE534" s="69"/>
      <c r="MVF534" s="69"/>
      <c r="MVG534" s="69"/>
      <c r="MVH534" s="69"/>
      <c r="MVI534" s="69"/>
      <c r="MVJ534" s="69"/>
      <c r="MVK534" s="69"/>
      <c r="MVL534" s="69"/>
      <c r="MVM534" s="69"/>
      <c r="MVN534" s="69"/>
      <c r="MVO534" s="69"/>
      <c r="MVP534" s="69"/>
      <c r="MVQ534" s="69"/>
      <c r="MVR534" s="69"/>
      <c r="MVS534" s="69"/>
      <c r="MVT534" s="69"/>
      <c r="MVU534" s="69"/>
      <c r="MVV534" s="69"/>
      <c r="MVW534" s="69"/>
      <c r="MVX534" s="69"/>
      <c r="MVY534" s="69"/>
      <c r="MVZ534" s="69"/>
      <c r="MWA534" s="69"/>
      <c r="MWB534" s="69"/>
      <c r="MWC534" s="69"/>
      <c r="MWD534" s="69"/>
      <c r="MWE534" s="69"/>
      <c r="MWF534" s="69"/>
      <c r="MWG534" s="69"/>
      <c r="MWH534" s="69"/>
      <c r="MWI534" s="69"/>
      <c r="MWJ534" s="69"/>
      <c r="MWK534" s="69"/>
      <c r="MWL534" s="69"/>
      <c r="MWM534" s="69"/>
      <c r="MWN534" s="69"/>
      <c r="MWO534" s="69"/>
      <c r="MWP534" s="69"/>
      <c r="MWQ534" s="69"/>
      <c r="MWR534" s="69"/>
      <c r="MWS534" s="69"/>
      <c r="MWT534" s="69"/>
      <c r="MWU534" s="69"/>
      <c r="MWV534" s="69"/>
      <c r="MWW534" s="69"/>
      <c r="MWX534" s="69"/>
      <c r="MWY534" s="69"/>
      <c r="MWZ534" s="69"/>
      <c r="MXA534" s="69"/>
      <c r="MXB534" s="69"/>
      <c r="MXC534" s="69"/>
      <c r="MXD534" s="69"/>
      <c r="MXE534" s="69"/>
      <c r="MXF534" s="69"/>
      <c r="MXG534" s="69"/>
      <c r="MXH534" s="69"/>
      <c r="MXI534" s="69"/>
      <c r="MXJ534" s="69"/>
      <c r="MXK534" s="69"/>
      <c r="MXL534" s="69"/>
      <c r="MXM534" s="69"/>
      <c r="MXN534" s="69"/>
      <c r="MXO534" s="69"/>
      <c r="MXP534" s="69"/>
      <c r="MXQ534" s="69"/>
      <c r="MXR534" s="69"/>
      <c r="MXS534" s="69"/>
      <c r="MXT534" s="69"/>
      <c r="MXU534" s="69"/>
      <c r="MXV534" s="69"/>
      <c r="MXW534" s="69"/>
      <c r="MXX534" s="69"/>
      <c r="MXY534" s="69"/>
      <c r="MXZ534" s="69"/>
      <c r="MYA534" s="69"/>
      <c r="MYB534" s="69"/>
      <c r="MYC534" s="69"/>
      <c r="MYD534" s="69"/>
      <c r="MYE534" s="69"/>
      <c r="MYF534" s="69"/>
      <c r="MYG534" s="69"/>
      <c r="MYH534" s="69"/>
      <c r="MYI534" s="69"/>
      <c r="MYJ534" s="69"/>
      <c r="MYK534" s="69"/>
      <c r="MYL534" s="69"/>
      <c r="MYM534" s="69"/>
      <c r="MYN534" s="69"/>
      <c r="MYO534" s="69"/>
      <c r="MYP534" s="69"/>
      <c r="MYQ534" s="69"/>
      <c r="MYR534" s="69"/>
      <c r="MYS534" s="69"/>
      <c r="MYT534" s="69"/>
      <c r="MYU534" s="69"/>
      <c r="MYV534" s="69"/>
      <c r="MYW534" s="69"/>
      <c r="MYX534" s="69"/>
      <c r="MYY534" s="69"/>
      <c r="MYZ534" s="69"/>
      <c r="MZA534" s="69"/>
      <c r="MZB534" s="69"/>
      <c r="MZC534" s="69"/>
      <c r="MZD534" s="69"/>
      <c r="MZE534" s="69"/>
      <c r="MZF534" s="69"/>
      <c r="MZG534" s="69"/>
      <c r="MZH534" s="69"/>
      <c r="MZI534" s="69"/>
      <c r="MZJ534" s="69"/>
      <c r="MZK534" s="69"/>
      <c r="MZL534" s="69"/>
      <c r="MZM534" s="69"/>
      <c r="MZN534" s="69"/>
      <c r="MZO534" s="69"/>
      <c r="MZP534" s="69"/>
      <c r="MZQ534" s="69"/>
      <c r="MZR534" s="69"/>
      <c r="MZS534" s="69"/>
      <c r="MZT534" s="69"/>
      <c r="MZU534" s="69"/>
      <c r="MZV534" s="69"/>
      <c r="MZW534" s="69"/>
      <c r="MZX534" s="69"/>
      <c r="MZY534" s="69"/>
      <c r="MZZ534" s="69"/>
      <c r="NAA534" s="69"/>
      <c r="NAB534" s="69"/>
      <c r="NAC534" s="69"/>
      <c r="NAD534" s="69"/>
      <c r="NAE534" s="69"/>
      <c r="NAF534" s="69"/>
      <c r="NAG534" s="69"/>
      <c r="NAH534" s="69"/>
      <c r="NAI534" s="69"/>
      <c r="NAJ534" s="69"/>
      <c r="NAK534" s="69"/>
      <c r="NAL534" s="69"/>
      <c r="NAM534" s="69"/>
      <c r="NAN534" s="69"/>
      <c r="NAO534" s="69"/>
      <c r="NAP534" s="69"/>
      <c r="NAQ534" s="69"/>
      <c r="NAR534" s="69"/>
      <c r="NAS534" s="69"/>
      <c r="NAT534" s="69"/>
      <c r="NAU534" s="69"/>
      <c r="NAV534" s="69"/>
      <c r="NAW534" s="69"/>
      <c r="NAX534" s="69"/>
      <c r="NAY534" s="69"/>
      <c r="NAZ534" s="69"/>
      <c r="NBA534" s="69"/>
      <c r="NBB534" s="69"/>
      <c r="NBC534" s="69"/>
      <c r="NBD534" s="69"/>
      <c r="NBE534" s="69"/>
      <c r="NBF534" s="69"/>
      <c r="NBG534" s="69"/>
      <c r="NBH534" s="69"/>
      <c r="NBI534" s="69"/>
      <c r="NBJ534" s="69"/>
      <c r="NBK534" s="69"/>
      <c r="NBL534" s="69"/>
      <c r="NBM534" s="69"/>
      <c r="NBN534" s="69"/>
      <c r="NBO534" s="69"/>
      <c r="NBP534" s="69"/>
      <c r="NBQ534" s="69"/>
      <c r="NBR534" s="69"/>
      <c r="NBS534" s="69"/>
      <c r="NBT534" s="69"/>
      <c r="NBU534" s="69"/>
      <c r="NBV534" s="69"/>
      <c r="NBW534" s="69"/>
      <c r="NBX534" s="69"/>
      <c r="NBY534" s="69"/>
      <c r="NBZ534" s="69"/>
      <c r="NCA534" s="69"/>
      <c r="NCB534" s="69"/>
      <c r="NCC534" s="69"/>
      <c r="NCD534" s="69"/>
      <c r="NCE534" s="69"/>
      <c r="NCF534" s="69"/>
      <c r="NCG534" s="69"/>
      <c r="NCH534" s="69"/>
      <c r="NCI534" s="69"/>
      <c r="NCJ534" s="69"/>
      <c r="NCK534" s="69"/>
      <c r="NCL534" s="69"/>
      <c r="NCM534" s="69"/>
      <c r="NCN534" s="69"/>
      <c r="NCO534" s="69"/>
      <c r="NCP534" s="69"/>
      <c r="NCQ534" s="69"/>
      <c r="NCR534" s="69"/>
      <c r="NCS534" s="69"/>
      <c r="NCT534" s="69"/>
      <c r="NCU534" s="69"/>
      <c r="NCV534" s="69"/>
      <c r="NCW534" s="69"/>
      <c r="NCX534" s="69"/>
      <c r="NCY534" s="69"/>
      <c r="NCZ534" s="69"/>
      <c r="NDA534" s="69"/>
      <c r="NDB534" s="69"/>
      <c r="NDC534" s="69"/>
      <c r="NDD534" s="69"/>
      <c r="NDE534" s="69"/>
      <c r="NDF534" s="69"/>
      <c r="NDG534" s="69"/>
      <c r="NDH534" s="69"/>
      <c r="NDI534" s="69"/>
      <c r="NDJ534" s="69"/>
      <c r="NDK534" s="69"/>
      <c r="NDL534" s="69"/>
      <c r="NDM534" s="69"/>
      <c r="NDN534" s="69"/>
      <c r="NDO534" s="69"/>
      <c r="NDP534" s="69"/>
      <c r="NDQ534" s="69"/>
      <c r="NDR534" s="69"/>
      <c r="NDS534" s="69"/>
      <c r="NDT534" s="69"/>
      <c r="NDU534" s="69"/>
      <c r="NDV534" s="69"/>
      <c r="NDW534" s="69"/>
      <c r="NDX534" s="69"/>
      <c r="NDY534" s="69"/>
      <c r="NDZ534" s="69"/>
      <c r="NEA534" s="69"/>
      <c r="NEB534" s="69"/>
      <c r="NEC534" s="69"/>
      <c r="NED534" s="69"/>
      <c r="NEE534" s="69"/>
      <c r="NEF534" s="69"/>
      <c r="NEG534" s="69"/>
      <c r="NEH534" s="69"/>
      <c r="NEI534" s="69"/>
      <c r="NEJ534" s="69"/>
      <c r="NEK534" s="69"/>
      <c r="NEL534" s="69"/>
      <c r="NEM534" s="69"/>
      <c r="NEN534" s="69"/>
      <c r="NEO534" s="69"/>
      <c r="NEP534" s="69"/>
      <c r="NEQ534" s="69"/>
      <c r="NER534" s="69"/>
      <c r="NES534" s="69"/>
      <c r="NET534" s="69"/>
      <c r="NEU534" s="69"/>
      <c r="NEV534" s="69"/>
      <c r="NEW534" s="69"/>
      <c r="NEX534" s="69"/>
      <c r="NEY534" s="69"/>
      <c r="NEZ534" s="69"/>
      <c r="NFA534" s="69"/>
      <c r="NFB534" s="69"/>
      <c r="NFC534" s="69"/>
      <c r="NFD534" s="69"/>
      <c r="NFE534" s="69"/>
      <c r="NFF534" s="69"/>
      <c r="NFG534" s="69"/>
      <c r="NFH534" s="69"/>
      <c r="NFI534" s="69"/>
      <c r="NFJ534" s="69"/>
      <c r="NFK534" s="69"/>
      <c r="NFL534" s="69"/>
      <c r="NFM534" s="69"/>
      <c r="NFN534" s="69"/>
      <c r="NFO534" s="69"/>
      <c r="NFP534" s="69"/>
      <c r="NFQ534" s="69"/>
      <c r="NFR534" s="69"/>
      <c r="NFS534" s="69"/>
      <c r="NFT534" s="69"/>
      <c r="NFU534" s="69"/>
      <c r="NFV534" s="69"/>
      <c r="NFW534" s="69"/>
      <c r="NFX534" s="69"/>
      <c r="NFY534" s="69"/>
      <c r="NFZ534" s="69"/>
      <c r="NGA534" s="69"/>
      <c r="NGB534" s="69"/>
      <c r="NGC534" s="69"/>
      <c r="NGD534" s="69"/>
      <c r="NGE534" s="69"/>
      <c r="NGF534" s="69"/>
      <c r="NGG534" s="69"/>
      <c r="NGH534" s="69"/>
      <c r="NGI534" s="69"/>
      <c r="NGJ534" s="69"/>
      <c r="NGK534" s="69"/>
      <c r="NGL534" s="69"/>
      <c r="NGM534" s="69"/>
      <c r="NGN534" s="69"/>
      <c r="NGO534" s="69"/>
      <c r="NGP534" s="69"/>
      <c r="NGQ534" s="69"/>
      <c r="NGR534" s="69"/>
      <c r="NGS534" s="69"/>
      <c r="NGT534" s="69"/>
      <c r="NGU534" s="69"/>
      <c r="NGV534" s="69"/>
      <c r="NGW534" s="69"/>
      <c r="NGX534" s="69"/>
      <c r="NGY534" s="69"/>
      <c r="NGZ534" s="69"/>
      <c r="NHA534" s="69"/>
      <c r="NHB534" s="69"/>
      <c r="NHC534" s="69"/>
      <c r="NHD534" s="69"/>
      <c r="NHE534" s="69"/>
      <c r="NHF534" s="69"/>
      <c r="NHG534" s="69"/>
      <c r="NHH534" s="69"/>
      <c r="NHI534" s="69"/>
      <c r="NHJ534" s="69"/>
      <c r="NHK534" s="69"/>
      <c r="NHL534" s="69"/>
      <c r="NHM534" s="69"/>
      <c r="NHN534" s="69"/>
      <c r="NHO534" s="69"/>
      <c r="NHP534" s="69"/>
      <c r="NHQ534" s="69"/>
      <c r="NHR534" s="69"/>
      <c r="NHS534" s="69"/>
      <c r="NHT534" s="69"/>
      <c r="NHU534" s="69"/>
      <c r="NHV534" s="69"/>
      <c r="NHW534" s="69"/>
      <c r="NHX534" s="69"/>
      <c r="NHY534" s="69"/>
      <c r="NHZ534" s="69"/>
      <c r="NIA534" s="69"/>
      <c r="NIB534" s="69"/>
      <c r="NIC534" s="69"/>
      <c r="NID534" s="69"/>
      <c r="NIE534" s="69"/>
      <c r="NIF534" s="69"/>
      <c r="NIG534" s="69"/>
      <c r="NIH534" s="69"/>
      <c r="NII534" s="69"/>
      <c r="NIJ534" s="69"/>
      <c r="NIK534" s="69"/>
      <c r="NIL534" s="69"/>
      <c r="NIM534" s="69"/>
      <c r="NIN534" s="69"/>
      <c r="NIO534" s="69"/>
      <c r="NIP534" s="69"/>
      <c r="NIQ534" s="69"/>
      <c r="NIR534" s="69"/>
      <c r="NIS534" s="69"/>
      <c r="NIT534" s="69"/>
      <c r="NIU534" s="69"/>
      <c r="NIV534" s="69"/>
      <c r="NIW534" s="69"/>
      <c r="NIX534" s="69"/>
      <c r="NIY534" s="69"/>
      <c r="NIZ534" s="69"/>
      <c r="NJA534" s="69"/>
      <c r="NJB534" s="69"/>
      <c r="NJC534" s="69"/>
      <c r="NJD534" s="69"/>
      <c r="NJE534" s="69"/>
      <c r="NJF534" s="69"/>
      <c r="NJG534" s="69"/>
      <c r="NJH534" s="69"/>
      <c r="NJI534" s="69"/>
      <c r="NJJ534" s="69"/>
      <c r="NJK534" s="69"/>
      <c r="NJL534" s="69"/>
      <c r="NJM534" s="69"/>
      <c r="NJN534" s="69"/>
      <c r="NJO534" s="69"/>
      <c r="NJP534" s="69"/>
      <c r="NJQ534" s="69"/>
      <c r="NJR534" s="69"/>
      <c r="NJS534" s="69"/>
      <c r="NJT534" s="69"/>
      <c r="NJU534" s="69"/>
      <c r="NJV534" s="69"/>
      <c r="NJW534" s="69"/>
      <c r="NJX534" s="69"/>
      <c r="NJY534" s="69"/>
      <c r="NJZ534" s="69"/>
      <c r="NKA534" s="69"/>
      <c r="NKB534" s="69"/>
      <c r="NKC534" s="69"/>
      <c r="NKD534" s="69"/>
      <c r="NKE534" s="69"/>
      <c r="NKF534" s="69"/>
      <c r="NKG534" s="69"/>
      <c r="NKH534" s="69"/>
      <c r="NKI534" s="69"/>
      <c r="NKJ534" s="69"/>
      <c r="NKK534" s="69"/>
      <c r="NKL534" s="69"/>
      <c r="NKM534" s="69"/>
      <c r="NKN534" s="69"/>
      <c r="NKO534" s="69"/>
      <c r="NKP534" s="69"/>
      <c r="NKQ534" s="69"/>
      <c r="NKR534" s="69"/>
      <c r="NKS534" s="69"/>
      <c r="NKT534" s="69"/>
      <c r="NKU534" s="69"/>
      <c r="NKV534" s="69"/>
      <c r="NKW534" s="69"/>
      <c r="NKX534" s="69"/>
      <c r="NKY534" s="69"/>
      <c r="NKZ534" s="69"/>
      <c r="NLA534" s="69"/>
      <c r="NLB534" s="69"/>
      <c r="NLC534" s="69"/>
      <c r="NLD534" s="69"/>
      <c r="NLE534" s="69"/>
      <c r="NLF534" s="69"/>
      <c r="NLG534" s="69"/>
      <c r="NLH534" s="69"/>
      <c r="NLI534" s="69"/>
      <c r="NLJ534" s="69"/>
      <c r="NLK534" s="69"/>
      <c r="NLL534" s="69"/>
      <c r="NLM534" s="69"/>
      <c r="NLN534" s="69"/>
      <c r="NLO534" s="69"/>
      <c r="NLP534" s="69"/>
      <c r="NLQ534" s="69"/>
      <c r="NLR534" s="69"/>
      <c r="NLS534" s="69"/>
      <c r="NLT534" s="69"/>
      <c r="NLU534" s="69"/>
      <c r="NLV534" s="69"/>
      <c r="NLW534" s="69"/>
      <c r="NLX534" s="69"/>
      <c r="NLY534" s="69"/>
      <c r="NLZ534" s="69"/>
      <c r="NMA534" s="69"/>
      <c r="NMB534" s="69"/>
      <c r="NMC534" s="69"/>
      <c r="NMD534" s="69"/>
      <c r="NME534" s="69"/>
      <c r="NMF534" s="69"/>
      <c r="NMG534" s="69"/>
      <c r="NMH534" s="69"/>
      <c r="NMI534" s="69"/>
      <c r="NMJ534" s="69"/>
      <c r="NMK534" s="69"/>
      <c r="NML534" s="69"/>
      <c r="NMM534" s="69"/>
      <c r="NMN534" s="69"/>
      <c r="NMO534" s="69"/>
      <c r="NMP534" s="69"/>
      <c r="NMQ534" s="69"/>
      <c r="NMR534" s="69"/>
      <c r="NMS534" s="69"/>
      <c r="NMT534" s="69"/>
      <c r="NMU534" s="69"/>
      <c r="NMV534" s="69"/>
      <c r="NMW534" s="69"/>
      <c r="NMX534" s="69"/>
      <c r="NMY534" s="69"/>
      <c r="NMZ534" s="69"/>
      <c r="NNA534" s="69"/>
      <c r="NNB534" s="69"/>
      <c r="NNC534" s="69"/>
      <c r="NND534" s="69"/>
      <c r="NNE534" s="69"/>
      <c r="NNF534" s="69"/>
      <c r="NNG534" s="69"/>
      <c r="NNH534" s="69"/>
      <c r="NNI534" s="69"/>
      <c r="NNJ534" s="69"/>
      <c r="NNK534" s="69"/>
      <c r="NNL534" s="69"/>
      <c r="NNM534" s="69"/>
      <c r="NNN534" s="69"/>
      <c r="NNO534" s="69"/>
      <c r="NNP534" s="69"/>
      <c r="NNQ534" s="69"/>
      <c r="NNR534" s="69"/>
      <c r="NNS534" s="69"/>
      <c r="NNT534" s="69"/>
      <c r="NNU534" s="69"/>
      <c r="NNV534" s="69"/>
      <c r="NNW534" s="69"/>
      <c r="NNX534" s="69"/>
      <c r="NNY534" s="69"/>
      <c r="NNZ534" s="69"/>
      <c r="NOA534" s="69"/>
      <c r="NOB534" s="69"/>
      <c r="NOC534" s="69"/>
      <c r="NOD534" s="69"/>
      <c r="NOE534" s="69"/>
      <c r="NOF534" s="69"/>
      <c r="NOG534" s="69"/>
      <c r="NOH534" s="69"/>
      <c r="NOI534" s="69"/>
      <c r="NOJ534" s="69"/>
      <c r="NOK534" s="69"/>
      <c r="NOL534" s="69"/>
      <c r="NOM534" s="69"/>
      <c r="NON534" s="69"/>
      <c r="NOO534" s="69"/>
      <c r="NOP534" s="69"/>
      <c r="NOQ534" s="69"/>
      <c r="NOR534" s="69"/>
      <c r="NOS534" s="69"/>
      <c r="NOT534" s="69"/>
      <c r="NOU534" s="69"/>
      <c r="NOV534" s="69"/>
      <c r="NOW534" s="69"/>
      <c r="NOX534" s="69"/>
      <c r="NOY534" s="69"/>
      <c r="NOZ534" s="69"/>
      <c r="NPA534" s="69"/>
      <c r="NPB534" s="69"/>
      <c r="NPC534" s="69"/>
      <c r="NPD534" s="69"/>
      <c r="NPE534" s="69"/>
      <c r="NPF534" s="69"/>
      <c r="NPG534" s="69"/>
      <c r="NPH534" s="69"/>
      <c r="NPI534" s="69"/>
      <c r="NPJ534" s="69"/>
      <c r="NPK534" s="69"/>
      <c r="NPL534" s="69"/>
      <c r="NPM534" s="69"/>
      <c r="NPN534" s="69"/>
      <c r="NPO534" s="69"/>
      <c r="NPP534" s="69"/>
      <c r="NPQ534" s="69"/>
      <c r="NPR534" s="69"/>
      <c r="NPS534" s="69"/>
      <c r="NPT534" s="69"/>
      <c r="NPU534" s="69"/>
      <c r="NPV534" s="69"/>
      <c r="NPW534" s="69"/>
      <c r="NPX534" s="69"/>
      <c r="NPY534" s="69"/>
      <c r="NPZ534" s="69"/>
      <c r="NQA534" s="69"/>
      <c r="NQB534" s="69"/>
      <c r="NQC534" s="69"/>
      <c r="NQD534" s="69"/>
      <c r="NQE534" s="69"/>
      <c r="NQF534" s="69"/>
      <c r="NQG534" s="69"/>
      <c r="NQH534" s="69"/>
      <c r="NQI534" s="69"/>
      <c r="NQJ534" s="69"/>
      <c r="NQK534" s="69"/>
      <c r="NQL534" s="69"/>
      <c r="NQM534" s="69"/>
      <c r="NQN534" s="69"/>
      <c r="NQO534" s="69"/>
      <c r="NQP534" s="69"/>
      <c r="NQQ534" s="69"/>
      <c r="NQR534" s="69"/>
      <c r="NQS534" s="69"/>
      <c r="NQT534" s="69"/>
      <c r="NQU534" s="69"/>
      <c r="NQV534" s="69"/>
      <c r="NQW534" s="69"/>
      <c r="NQX534" s="69"/>
      <c r="NQY534" s="69"/>
      <c r="NQZ534" s="69"/>
      <c r="NRA534" s="69"/>
      <c r="NRB534" s="69"/>
      <c r="NRC534" s="69"/>
      <c r="NRD534" s="69"/>
      <c r="NRE534" s="69"/>
      <c r="NRF534" s="69"/>
      <c r="NRG534" s="69"/>
      <c r="NRH534" s="69"/>
      <c r="NRI534" s="69"/>
      <c r="NRJ534" s="69"/>
      <c r="NRK534" s="69"/>
      <c r="NRL534" s="69"/>
      <c r="NRM534" s="69"/>
      <c r="NRN534" s="69"/>
      <c r="NRO534" s="69"/>
      <c r="NRP534" s="69"/>
      <c r="NRQ534" s="69"/>
      <c r="NRR534" s="69"/>
      <c r="NRS534" s="69"/>
      <c r="NRT534" s="69"/>
      <c r="NRU534" s="69"/>
      <c r="NRV534" s="69"/>
      <c r="NRW534" s="69"/>
      <c r="NRX534" s="69"/>
      <c r="NRY534" s="69"/>
      <c r="NRZ534" s="69"/>
      <c r="NSA534" s="69"/>
      <c r="NSB534" s="69"/>
      <c r="NSC534" s="69"/>
      <c r="NSD534" s="69"/>
      <c r="NSE534" s="69"/>
      <c r="NSF534" s="69"/>
      <c r="NSG534" s="69"/>
      <c r="NSH534" s="69"/>
      <c r="NSI534" s="69"/>
      <c r="NSJ534" s="69"/>
      <c r="NSK534" s="69"/>
      <c r="NSL534" s="69"/>
      <c r="NSM534" s="69"/>
      <c r="NSN534" s="69"/>
      <c r="NSO534" s="69"/>
      <c r="NSP534" s="69"/>
      <c r="NSQ534" s="69"/>
      <c r="NSR534" s="69"/>
      <c r="NSS534" s="69"/>
      <c r="NST534" s="69"/>
      <c r="NSU534" s="69"/>
      <c r="NSV534" s="69"/>
      <c r="NSW534" s="69"/>
      <c r="NSX534" s="69"/>
      <c r="NSY534" s="69"/>
      <c r="NSZ534" s="69"/>
      <c r="NTA534" s="69"/>
      <c r="NTB534" s="69"/>
      <c r="NTC534" s="69"/>
      <c r="NTD534" s="69"/>
      <c r="NTE534" s="69"/>
      <c r="NTF534" s="69"/>
      <c r="NTG534" s="69"/>
      <c r="NTH534" s="69"/>
      <c r="NTI534" s="69"/>
      <c r="NTJ534" s="69"/>
      <c r="NTK534" s="69"/>
      <c r="NTL534" s="69"/>
      <c r="NTM534" s="69"/>
      <c r="NTN534" s="69"/>
      <c r="NTO534" s="69"/>
      <c r="NTP534" s="69"/>
      <c r="NTQ534" s="69"/>
      <c r="NTR534" s="69"/>
      <c r="NTS534" s="69"/>
      <c r="NTT534" s="69"/>
      <c r="NTU534" s="69"/>
      <c r="NTV534" s="69"/>
      <c r="NTW534" s="69"/>
      <c r="NTX534" s="69"/>
      <c r="NTY534" s="69"/>
      <c r="NTZ534" s="69"/>
      <c r="NUA534" s="69"/>
      <c r="NUB534" s="69"/>
      <c r="NUC534" s="69"/>
      <c r="NUD534" s="69"/>
      <c r="NUE534" s="69"/>
      <c r="NUF534" s="69"/>
      <c r="NUG534" s="69"/>
      <c r="NUH534" s="69"/>
      <c r="NUI534" s="69"/>
      <c r="NUJ534" s="69"/>
      <c r="NUK534" s="69"/>
      <c r="NUL534" s="69"/>
      <c r="NUM534" s="69"/>
      <c r="NUN534" s="69"/>
      <c r="NUO534" s="69"/>
      <c r="NUP534" s="69"/>
      <c r="NUQ534" s="69"/>
      <c r="NUR534" s="69"/>
      <c r="NUS534" s="69"/>
      <c r="NUT534" s="69"/>
      <c r="NUU534" s="69"/>
      <c r="NUV534" s="69"/>
      <c r="NUW534" s="69"/>
      <c r="NUX534" s="69"/>
      <c r="NUY534" s="69"/>
      <c r="NUZ534" s="69"/>
      <c r="NVA534" s="69"/>
      <c r="NVB534" s="69"/>
      <c r="NVC534" s="69"/>
      <c r="NVD534" s="69"/>
      <c r="NVE534" s="69"/>
      <c r="NVF534" s="69"/>
      <c r="NVG534" s="69"/>
      <c r="NVH534" s="69"/>
      <c r="NVI534" s="69"/>
      <c r="NVJ534" s="69"/>
      <c r="NVK534" s="69"/>
      <c r="NVL534" s="69"/>
      <c r="NVM534" s="69"/>
      <c r="NVN534" s="69"/>
      <c r="NVO534" s="69"/>
      <c r="NVP534" s="69"/>
      <c r="NVQ534" s="69"/>
      <c r="NVR534" s="69"/>
      <c r="NVS534" s="69"/>
      <c r="NVT534" s="69"/>
      <c r="NVU534" s="69"/>
      <c r="NVV534" s="69"/>
      <c r="NVW534" s="69"/>
      <c r="NVX534" s="69"/>
      <c r="NVY534" s="69"/>
      <c r="NVZ534" s="69"/>
      <c r="NWA534" s="69"/>
      <c r="NWB534" s="69"/>
      <c r="NWC534" s="69"/>
      <c r="NWD534" s="69"/>
      <c r="NWE534" s="69"/>
      <c r="NWF534" s="69"/>
      <c r="NWG534" s="69"/>
      <c r="NWH534" s="69"/>
      <c r="NWI534" s="69"/>
      <c r="NWJ534" s="69"/>
      <c r="NWK534" s="69"/>
      <c r="NWL534" s="69"/>
      <c r="NWM534" s="69"/>
      <c r="NWN534" s="69"/>
      <c r="NWO534" s="69"/>
      <c r="NWP534" s="69"/>
      <c r="NWQ534" s="69"/>
      <c r="NWR534" s="69"/>
      <c r="NWS534" s="69"/>
      <c r="NWT534" s="69"/>
      <c r="NWU534" s="69"/>
      <c r="NWV534" s="69"/>
      <c r="NWW534" s="69"/>
      <c r="NWX534" s="69"/>
      <c r="NWY534" s="69"/>
      <c r="NWZ534" s="69"/>
      <c r="NXA534" s="69"/>
      <c r="NXB534" s="69"/>
      <c r="NXC534" s="69"/>
      <c r="NXD534" s="69"/>
      <c r="NXE534" s="69"/>
      <c r="NXF534" s="69"/>
      <c r="NXG534" s="69"/>
      <c r="NXH534" s="69"/>
      <c r="NXI534" s="69"/>
      <c r="NXJ534" s="69"/>
      <c r="NXK534" s="69"/>
      <c r="NXL534" s="69"/>
      <c r="NXM534" s="69"/>
      <c r="NXN534" s="69"/>
      <c r="NXO534" s="69"/>
      <c r="NXP534" s="69"/>
      <c r="NXQ534" s="69"/>
      <c r="NXR534" s="69"/>
      <c r="NXS534" s="69"/>
      <c r="NXT534" s="69"/>
      <c r="NXU534" s="69"/>
      <c r="NXV534" s="69"/>
      <c r="NXW534" s="69"/>
      <c r="NXX534" s="69"/>
      <c r="NXY534" s="69"/>
      <c r="NXZ534" s="69"/>
      <c r="NYA534" s="69"/>
      <c r="NYB534" s="69"/>
      <c r="NYC534" s="69"/>
      <c r="NYD534" s="69"/>
      <c r="NYE534" s="69"/>
      <c r="NYF534" s="69"/>
      <c r="NYG534" s="69"/>
      <c r="NYH534" s="69"/>
      <c r="NYI534" s="69"/>
      <c r="NYJ534" s="69"/>
      <c r="NYK534" s="69"/>
      <c r="NYL534" s="69"/>
      <c r="NYM534" s="69"/>
      <c r="NYN534" s="69"/>
      <c r="NYO534" s="69"/>
      <c r="NYP534" s="69"/>
      <c r="NYQ534" s="69"/>
      <c r="NYR534" s="69"/>
      <c r="NYS534" s="69"/>
      <c r="NYT534" s="69"/>
      <c r="NYU534" s="69"/>
      <c r="NYV534" s="69"/>
      <c r="NYW534" s="69"/>
      <c r="NYX534" s="69"/>
      <c r="NYY534" s="69"/>
      <c r="NYZ534" s="69"/>
      <c r="NZA534" s="69"/>
      <c r="NZB534" s="69"/>
      <c r="NZC534" s="69"/>
      <c r="NZD534" s="69"/>
      <c r="NZE534" s="69"/>
      <c r="NZF534" s="69"/>
      <c r="NZG534" s="69"/>
      <c r="NZH534" s="69"/>
      <c r="NZI534" s="69"/>
      <c r="NZJ534" s="69"/>
      <c r="NZK534" s="69"/>
      <c r="NZL534" s="69"/>
      <c r="NZM534" s="69"/>
      <c r="NZN534" s="69"/>
      <c r="NZO534" s="69"/>
      <c r="NZP534" s="69"/>
      <c r="NZQ534" s="69"/>
      <c r="NZR534" s="69"/>
      <c r="NZS534" s="69"/>
      <c r="NZT534" s="69"/>
      <c r="NZU534" s="69"/>
      <c r="NZV534" s="69"/>
      <c r="NZW534" s="69"/>
      <c r="NZX534" s="69"/>
      <c r="NZY534" s="69"/>
      <c r="NZZ534" s="69"/>
      <c r="OAA534" s="69"/>
      <c r="OAB534" s="69"/>
      <c r="OAC534" s="69"/>
      <c r="OAD534" s="69"/>
      <c r="OAE534" s="69"/>
      <c r="OAF534" s="69"/>
      <c r="OAG534" s="69"/>
      <c r="OAH534" s="69"/>
      <c r="OAI534" s="69"/>
      <c r="OAJ534" s="69"/>
      <c r="OAK534" s="69"/>
      <c r="OAL534" s="69"/>
      <c r="OAM534" s="69"/>
      <c r="OAN534" s="69"/>
      <c r="OAO534" s="69"/>
      <c r="OAP534" s="69"/>
      <c r="OAQ534" s="69"/>
      <c r="OAR534" s="69"/>
      <c r="OAS534" s="69"/>
      <c r="OAT534" s="69"/>
      <c r="OAU534" s="69"/>
      <c r="OAV534" s="69"/>
      <c r="OAW534" s="69"/>
      <c r="OAX534" s="69"/>
      <c r="OAY534" s="69"/>
      <c r="OAZ534" s="69"/>
      <c r="OBA534" s="69"/>
      <c r="OBB534" s="69"/>
      <c r="OBC534" s="69"/>
      <c r="OBD534" s="69"/>
      <c r="OBE534" s="69"/>
      <c r="OBF534" s="69"/>
      <c r="OBG534" s="69"/>
      <c r="OBH534" s="69"/>
      <c r="OBI534" s="69"/>
      <c r="OBJ534" s="69"/>
      <c r="OBK534" s="69"/>
      <c r="OBL534" s="69"/>
      <c r="OBM534" s="69"/>
      <c r="OBN534" s="69"/>
      <c r="OBO534" s="69"/>
      <c r="OBP534" s="69"/>
      <c r="OBQ534" s="69"/>
      <c r="OBR534" s="69"/>
      <c r="OBS534" s="69"/>
      <c r="OBT534" s="69"/>
      <c r="OBU534" s="69"/>
      <c r="OBV534" s="69"/>
      <c r="OBW534" s="69"/>
      <c r="OBX534" s="69"/>
      <c r="OBY534" s="69"/>
      <c r="OBZ534" s="69"/>
      <c r="OCA534" s="69"/>
      <c r="OCB534" s="69"/>
      <c r="OCC534" s="69"/>
      <c r="OCD534" s="69"/>
      <c r="OCE534" s="69"/>
      <c r="OCF534" s="69"/>
      <c r="OCG534" s="69"/>
      <c r="OCH534" s="69"/>
      <c r="OCI534" s="69"/>
      <c r="OCJ534" s="69"/>
      <c r="OCK534" s="69"/>
      <c r="OCL534" s="69"/>
      <c r="OCM534" s="69"/>
      <c r="OCN534" s="69"/>
      <c r="OCO534" s="69"/>
      <c r="OCP534" s="69"/>
      <c r="OCQ534" s="69"/>
      <c r="OCR534" s="69"/>
      <c r="OCS534" s="69"/>
      <c r="OCT534" s="69"/>
      <c r="OCU534" s="69"/>
      <c r="OCV534" s="69"/>
      <c r="OCW534" s="69"/>
      <c r="OCX534" s="69"/>
      <c r="OCY534" s="69"/>
      <c r="OCZ534" s="69"/>
      <c r="ODA534" s="69"/>
      <c r="ODB534" s="69"/>
      <c r="ODC534" s="69"/>
      <c r="ODD534" s="69"/>
      <c r="ODE534" s="69"/>
      <c r="ODF534" s="69"/>
      <c r="ODG534" s="69"/>
      <c r="ODH534" s="69"/>
      <c r="ODI534" s="69"/>
      <c r="ODJ534" s="69"/>
      <c r="ODK534" s="69"/>
      <c r="ODL534" s="69"/>
      <c r="ODM534" s="69"/>
      <c r="ODN534" s="69"/>
      <c r="ODO534" s="69"/>
      <c r="ODP534" s="69"/>
      <c r="ODQ534" s="69"/>
      <c r="ODR534" s="69"/>
      <c r="ODS534" s="69"/>
      <c r="ODT534" s="69"/>
      <c r="ODU534" s="69"/>
      <c r="ODV534" s="69"/>
      <c r="ODW534" s="69"/>
      <c r="ODX534" s="69"/>
      <c r="ODY534" s="69"/>
      <c r="ODZ534" s="69"/>
      <c r="OEA534" s="69"/>
      <c r="OEB534" s="69"/>
      <c r="OEC534" s="69"/>
      <c r="OED534" s="69"/>
      <c r="OEE534" s="69"/>
      <c r="OEF534" s="69"/>
      <c r="OEG534" s="69"/>
      <c r="OEH534" s="69"/>
      <c r="OEI534" s="69"/>
      <c r="OEJ534" s="69"/>
      <c r="OEK534" s="69"/>
      <c r="OEL534" s="69"/>
      <c r="OEM534" s="69"/>
      <c r="OEN534" s="69"/>
      <c r="OEO534" s="69"/>
      <c r="OEP534" s="69"/>
      <c r="OEQ534" s="69"/>
      <c r="OER534" s="69"/>
      <c r="OES534" s="69"/>
      <c r="OET534" s="69"/>
      <c r="OEU534" s="69"/>
      <c r="OEV534" s="69"/>
      <c r="OEW534" s="69"/>
      <c r="OEX534" s="69"/>
      <c r="OEY534" s="69"/>
      <c r="OEZ534" s="69"/>
      <c r="OFA534" s="69"/>
      <c r="OFB534" s="69"/>
      <c r="OFC534" s="69"/>
      <c r="OFD534" s="69"/>
      <c r="OFE534" s="69"/>
      <c r="OFF534" s="69"/>
      <c r="OFG534" s="69"/>
      <c r="OFH534" s="69"/>
      <c r="OFI534" s="69"/>
      <c r="OFJ534" s="69"/>
      <c r="OFK534" s="69"/>
      <c r="OFL534" s="69"/>
      <c r="OFM534" s="69"/>
      <c r="OFN534" s="69"/>
      <c r="OFO534" s="69"/>
      <c r="OFP534" s="69"/>
      <c r="OFQ534" s="69"/>
      <c r="OFR534" s="69"/>
      <c r="OFS534" s="69"/>
      <c r="OFT534" s="69"/>
      <c r="OFU534" s="69"/>
      <c r="OFV534" s="69"/>
      <c r="OFW534" s="69"/>
      <c r="OFX534" s="69"/>
      <c r="OFY534" s="69"/>
      <c r="OFZ534" s="69"/>
      <c r="OGA534" s="69"/>
      <c r="OGB534" s="69"/>
      <c r="OGC534" s="69"/>
      <c r="OGD534" s="69"/>
      <c r="OGE534" s="69"/>
      <c r="OGF534" s="69"/>
      <c r="OGG534" s="69"/>
      <c r="OGH534" s="69"/>
      <c r="OGI534" s="69"/>
      <c r="OGJ534" s="69"/>
      <c r="OGK534" s="69"/>
      <c r="OGL534" s="69"/>
      <c r="OGM534" s="69"/>
      <c r="OGN534" s="69"/>
      <c r="OGO534" s="69"/>
      <c r="OGP534" s="69"/>
      <c r="OGQ534" s="69"/>
      <c r="OGR534" s="69"/>
      <c r="OGS534" s="69"/>
      <c r="OGT534" s="69"/>
      <c r="OGU534" s="69"/>
      <c r="OGV534" s="69"/>
      <c r="OGW534" s="69"/>
      <c r="OGX534" s="69"/>
      <c r="OGY534" s="69"/>
      <c r="OGZ534" s="69"/>
      <c r="OHA534" s="69"/>
      <c r="OHB534" s="69"/>
      <c r="OHC534" s="69"/>
      <c r="OHD534" s="69"/>
      <c r="OHE534" s="69"/>
      <c r="OHF534" s="69"/>
      <c r="OHG534" s="69"/>
      <c r="OHH534" s="69"/>
      <c r="OHI534" s="69"/>
      <c r="OHJ534" s="69"/>
      <c r="OHK534" s="69"/>
      <c r="OHL534" s="69"/>
      <c r="OHM534" s="69"/>
      <c r="OHN534" s="69"/>
      <c r="OHO534" s="69"/>
      <c r="OHP534" s="69"/>
      <c r="OHQ534" s="69"/>
      <c r="OHR534" s="69"/>
      <c r="OHS534" s="69"/>
      <c r="OHT534" s="69"/>
      <c r="OHU534" s="69"/>
      <c r="OHV534" s="69"/>
      <c r="OHW534" s="69"/>
      <c r="OHX534" s="69"/>
      <c r="OHY534" s="69"/>
      <c r="OHZ534" s="69"/>
      <c r="OIA534" s="69"/>
      <c r="OIB534" s="69"/>
      <c r="OIC534" s="69"/>
      <c r="OID534" s="69"/>
      <c r="OIE534" s="69"/>
      <c r="OIF534" s="69"/>
      <c r="OIG534" s="69"/>
      <c r="OIH534" s="69"/>
      <c r="OII534" s="69"/>
      <c r="OIJ534" s="69"/>
      <c r="OIK534" s="69"/>
      <c r="OIL534" s="69"/>
      <c r="OIM534" s="69"/>
      <c r="OIN534" s="69"/>
      <c r="OIO534" s="69"/>
      <c r="OIP534" s="69"/>
      <c r="OIQ534" s="69"/>
      <c r="OIR534" s="69"/>
      <c r="OIS534" s="69"/>
      <c r="OIT534" s="69"/>
      <c r="OIU534" s="69"/>
      <c r="OIV534" s="69"/>
      <c r="OIW534" s="69"/>
      <c r="OIX534" s="69"/>
      <c r="OIY534" s="69"/>
      <c r="OIZ534" s="69"/>
      <c r="OJA534" s="69"/>
      <c r="OJB534" s="69"/>
      <c r="OJC534" s="69"/>
      <c r="OJD534" s="69"/>
      <c r="OJE534" s="69"/>
      <c r="OJF534" s="69"/>
      <c r="OJG534" s="69"/>
      <c r="OJH534" s="69"/>
      <c r="OJI534" s="69"/>
      <c r="OJJ534" s="69"/>
      <c r="OJK534" s="69"/>
      <c r="OJL534" s="69"/>
      <c r="OJM534" s="69"/>
      <c r="OJN534" s="69"/>
      <c r="OJO534" s="69"/>
      <c r="OJP534" s="69"/>
      <c r="OJQ534" s="69"/>
      <c r="OJR534" s="69"/>
      <c r="OJS534" s="69"/>
      <c r="OJT534" s="69"/>
      <c r="OJU534" s="69"/>
      <c r="OJV534" s="69"/>
      <c r="OJW534" s="69"/>
      <c r="OJX534" s="69"/>
      <c r="OJY534" s="69"/>
      <c r="OJZ534" s="69"/>
      <c r="OKA534" s="69"/>
      <c r="OKB534" s="69"/>
      <c r="OKC534" s="69"/>
      <c r="OKD534" s="69"/>
      <c r="OKE534" s="69"/>
      <c r="OKF534" s="69"/>
      <c r="OKG534" s="69"/>
      <c r="OKH534" s="69"/>
      <c r="OKI534" s="69"/>
      <c r="OKJ534" s="69"/>
      <c r="OKK534" s="69"/>
      <c r="OKL534" s="69"/>
      <c r="OKM534" s="69"/>
      <c r="OKN534" s="69"/>
      <c r="OKO534" s="69"/>
      <c r="OKP534" s="69"/>
      <c r="OKQ534" s="69"/>
      <c r="OKR534" s="69"/>
      <c r="OKS534" s="69"/>
      <c r="OKT534" s="69"/>
      <c r="OKU534" s="69"/>
      <c r="OKV534" s="69"/>
      <c r="OKW534" s="69"/>
      <c r="OKX534" s="69"/>
      <c r="OKY534" s="69"/>
      <c r="OKZ534" s="69"/>
      <c r="OLA534" s="69"/>
      <c r="OLB534" s="69"/>
      <c r="OLC534" s="69"/>
      <c r="OLD534" s="69"/>
      <c r="OLE534" s="69"/>
      <c r="OLF534" s="69"/>
      <c r="OLG534" s="69"/>
      <c r="OLH534" s="69"/>
      <c r="OLI534" s="69"/>
      <c r="OLJ534" s="69"/>
      <c r="OLK534" s="69"/>
      <c r="OLL534" s="69"/>
      <c r="OLM534" s="69"/>
      <c r="OLN534" s="69"/>
      <c r="OLO534" s="69"/>
      <c r="OLP534" s="69"/>
      <c r="OLQ534" s="69"/>
      <c r="OLR534" s="69"/>
      <c r="OLS534" s="69"/>
      <c r="OLT534" s="69"/>
      <c r="OLU534" s="69"/>
      <c r="OLV534" s="69"/>
      <c r="OLW534" s="69"/>
      <c r="OLX534" s="69"/>
      <c r="OLY534" s="69"/>
      <c r="OLZ534" s="69"/>
      <c r="OMA534" s="69"/>
      <c r="OMB534" s="69"/>
      <c r="OMC534" s="69"/>
      <c r="OMD534" s="69"/>
      <c r="OME534" s="69"/>
      <c r="OMF534" s="69"/>
      <c r="OMG534" s="69"/>
      <c r="OMH534" s="69"/>
      <c r="OMI534" s="69"/>
      <c r="OMJ534" s="69"/>
      <c r="OMK534" s="69"/>
      <c r="OML534" s="69"/>
      <c r="OMM534" s="69"/>
      <c r="OMN534" s="69"/>
      <c r="OMO534" s="69"/>
      <c r="OMP534" s="69"/>
      <c r="OMQ534" s="69"/>
      <c r="OMR534" s="69"/>
      <c r="OMS534" s="69"/>
      <c r="OMT534" s="69"/>
      <c r="OMU534" s="69"/>
      <c r="OMV534" s="69"/>
      <c r="OMW534" s="69"/>
      <c r="OMX534" s="69"/>
      <c r="OMY534" s="69"/>
      <c r="OMZ534" s="69"/>
      <c r="ONA534" s="69"/>
      <c r="ONB534" s="69"/>
      <c r="ONC534" s="69"/>
      <c r="OND534" s="69"/>
      <c r="ONE534" s="69"/>
      <c r="ONF534" s="69"/>
      <c r="ONG534" s="69"/>
      <c r="ONH534" s="69"/>
      <c r="ONI534" s="69"/>
      <c r="ONJ534" s="69"/>
      <c r="ONK534" s="69"/>
      <c r="ONL534" s="69"/>
      <c r="ONM534" s="69"/>
      <c r="ONN534" s="69"/>
      <c r="ONO534" s="69"/>
      <c r="ONP534" s="69"/>
      <c r="ONQ534" s="69"/>
      <c r="ONR534" s="69"/>
      <c r="ONS534" s="69"/>
      <c r="ONT534" s="69"/>
      <c r="ONU534" s="69"/>
      <c r="ONV534" s="69"/>
      <c r="ONW534" s="69"/>
      <c r="ONX534" s="69"/>
      <c r="ONY534" s="69"/>
      <c r="ONZ534" s="69"/>
      <c r="OOA534" s="69"/>
      <c r="OOB534" s="69"/>
      <c r="OOC534" s="69"/>
      <c r="OOD534" s="69"/>
      <c r="OOE534" s="69"/>
      <c r="OOF534" s="69"/>
      <c r="OOG534" s="69"/>
      <c r="OOH534" s="69"/>
      <c r="OOI534" s="69"/>
      <c r="OOJ534" s="69"/>
      <c r="OOK534" s="69"/>
      <c r="OOL534" s="69"/>
      <c r="OOM534" s="69"/>
      <c r="OON534" s="69"/>
      <c r="OOO534" s="69"/>
      <c r="OOP534" s="69"/>
      <c r="OOQ534" s="69"/>
      <c r="OOR534" s="69"/>
      <c r="OOS534" s="69"/>
      <c r="OOT534" s="69"/>
      <c r="OOU534" s="69"/>
      <c r="OOV534" s="69"/>
      <c r="OOW534" s="69"/>
      <c r="OOX534" s="69"/>
      <c r="OOY534" s="69"/>
      <c r="OOZ534" s="69"/>
      <c r="OPA534" s="69"/>
      <c r="OPB534" s="69"/>
      <c r="OPC534" s="69"/>
      <c r="OPD534" s="69"/>
      <c r="OPE534" s="69"/>
      <c r="OPF534" s="69"/>
      <c r="OPG534" s="69"/>
      <c r="OPH534" s="69"/>
      <c r="OPI534" s="69"/>
      <c r="OPJ534" s="69"/>
      <c r="OPK534" s="69"/>
      <c r="OPL534" s="69"/>
      <c r="OPM534" s="69"/>
      <c r="OPN534" s="69"/>
      <c r="OPO534" s="69"/>
      <c r="OPP534" s="69"/>
      <c r="OPQ534" s="69"/>
      <c r="OPR534" s="69"/>
      <c r="OPS534" s="69"/>
      <c r="OPT534" s="69"/>
      <c r="OPU534" s="69"/>
      <c r="OPV534" s="69"/>
      <c r="OPW534" s="69"/>
      <c r="OPX534" s="69"/>
      <c r="OPY534" s="69"/>
      <c r="OPZ534" s="69"/>
      <c r="OQA534" s="69"/>
      <c r="OQB534" s="69"/>
      <c r="OQC534" s="69"/>
      <c r="OQD534" s="69"/>
      <c r="OQE534" s="69"/>
      <c r="OQF534" s="69"/>
      <c r="OQG534" s="69"/>
      <c r="OQH534" s="69"/>
      <c r="OQI534" s="69"/>
      <c r="OQJ534" s="69"/>
      <c r="OQK534" s="69"/>
      <c r="OQL534" s="69"/>
      <c r="OQM534" s="69"/>
      <c r="OQN534" s="69"/>
      <c r="OQO534" s="69"/>
      <c r="OQP534" s="69"/>
      <c r="OQQ534" s="69"/>
      <c r="OQR534" s="69"/>
      <c r="OQS534" s="69"/>
      <c r="OQT534" s="69"/>
      <c r="OQU534" s="69"/>
      <c r="OQV534" s="69"/>
      <c r="OQW534" s="69"/>
      <c r="OQX534" s="69"/>
      <c r="OQY534" s="69"/>
      <c r="OQZ534" s="69"/>
      <c r="ORA534" s="69"/>
      <c r="ORB534" s="69"/>
      <c r="ORC534" s="69"/>
      <c r="ORD534" s="69"/>
      <c r="ORE534" s="69"/>
      <c r="ORF534" s="69"/>
      <c r="ORG534" s="69"/>
      <c r="ORH534" s="69"/>
      <c r="ORI534" s="69"/>
      <c r="ORJ534" s="69"/>
      <c r="ORK534" s="69"/>
      <c r="ORL534" s="69"/>
      <c r="ORM534" s="69"/>
      <c r="ORN534" s="69"/>
      <c r="ORO534" s="69"/>
      <c r="ORP534" s="69"/>
      <c r="ORQ534" s="69"/>
      <c r="ORR534" s="69"/>
      <c r="ORS534" s="69"/>
      <c r="ORT534" s="69"/>
      <c r="ORU534" s="69"/>
      <c r="ORV534" s="69"/>
      <c r="ORW534" s="69"/>
      <c r="ORX534" s="69"/>
      <c r="ORY534" s="69"/>
      <c r="ORZ534" s="69"/>
      <c r="OSA534" s="69"/>
      <c r="OSB534" s="69"/>
      <c r="OSC534" s="69"/>
      <c r="OSD534" s="69"/>
      <c r="OSE534" s="69"/>
      <c r="OSF534" s="69"/>
      <c r="OSG534" s="69"/>
      <c r="OSH534" s="69"/>
      <c r="OSI534" s="69"/>
      <c r="OSJ534" s="69"/>
      <c r="OSK534" s="69"/>
      <c r="OSL534" s="69"/>
      <c r="OSM534" s="69"/>
      <c r="OSN534" s="69"/>
      <c r="OSO534" s="69"/>
      <c r="OSP534" s="69"/>
      <c r="OSQ534" s="69"/>
      <c r="OSR534" s="69"/>
      <c r="OSS534" s="69"/>
      <c r="OST534" s="69"/>
      <c r="OSU534" s="69"/>
      <c r="OSV534" s="69"/>
      <c r="OSW534" s="69"/>
      <c r="OSX534" s="69"/>
      <c r="OSY534" s="69"/>
      <c r="OSZ534" s="69"/>
      <c r="OTA534" s="69"/>
      <c r="OTB534" s="69"/>
      <c r="OTC534" s="69"/>
      <c r="OTD534" s="69"/>
      <c r="OTE534" s="69"/>
      <c r="OTF534" s="69"/>
      <c r="OTG534" s="69"/>
      <c r="OTH534" s="69"/>
      <c r="OTI534" s="69"/>
      <c r="OTJ534" s="69"/>
      <c r="OTK534" s="69"/>
      <c r="OTL534" s="69"/>
      <c r="OTM534" s="69"/>
      <c r="OTN534" s="69"/>
      <c r="OTO534" s="69"/>
      <c r="OTP534" s="69"/>
      <c r="OTQ534" s="69"/>
      <c r="OTR534" s="69"/>
      <c r="OTS534" s="69"/>
      <c r="OTT534" s="69"/>
      <c r="OTU534" s="69"/>
      <c r="OTV534" s="69"/>
      <c r="OTW534" s="69"/>
      <c r="OTX534" s="69"/>
      <c r="OTY534" s="69"/>
      <c r="OTZ534" s="69"/>
      <c r="OUA534" s="69"/>
      <c r="OUB534" s="69"/>
      <c r="OUC534" s="69"/>
      <c r="OUD534" s="69"/>
      <c r="OUE534" s="69"/>
      <c r="OUF534" s="69"/>
      <c r="OUG534" s="69"/>
      <c r="OUH534" s="69"/>
      <c r="OUI534" s="69"/>
      <c r="OUJ534" s="69"/>
      <c r="OUK534" s="69"/>
      <c r="OUL534" s="69"/>
      <c r="OUM534" s="69"/>
      <c r="OUN534" s="69"/>
      <c r="OUO534" s="69"/>
      <c r="OUP534" s="69"/>
      <c r="OUQ534" s="69"/>
      <c r="OUR534" s="69"/>
      <c r="OUS534" s="69"/>
      <c r="OUT534" s="69"/>
      <c r="OUU534" s="69"/>
      <c r="OUV534" s="69"/>
      <c r="OUW534" s="69"/>
      <c r="OUX534" s="69"/>
      <c r="OUY534" s="69"/>
      <c r="OUZ534" s="69"/>
      <c r="OVA534" s="69"/>
      <c r="OVB534" s="69"/>
      <c r="OVC534" s="69"/>
      <c r="OVD534" s="69"/>
      <c r="OVE534" s="69"/>
      <c r="OVF534" s="69"/>
      <c r="OVG534" s="69"/>
      <c r="OVH534" s="69"/>
      <c r="OVI534" s="69"/>
      <c r="OVJ534" s="69"/>
      <c r="OVK534" s="69"/>
      <c r="OVL534" s="69"/>
      <c r="OVM534" s="69"/>
      <c r="OVN534" s="69"/>
      <c r="OVO534" s="69"/>
      <c r="OVP534" s="69"/>
      <c r="OVQ534" s="69"/>
      <c r="OVR534" s="69"/>
      <c r="OVS534" s="69"/>
      <c r="OVT534" s="69"/>
      <c r="OVU534" s="69"/>
      <c r="OVV534" s="69"/>
      <c r="OVW534" s="69"/>
      <c r="OVX534" s="69"/>
      <c r="OVY534" s="69"/>
      <c r="OVZ534" s="69"/>
      <c r="OWA534" s="69"/>
      <c r="OWB534" s="69"/>
      <c r="OWC534" s="69"/>
      <c r="OWD534" s="69"/>
      <c r="OWE534" s="69"/>
      <c r="OWF534" s="69"/>
      <c r="OWG534" s="69"/>
      <c r="OWH534" s="69"/>
      <c r="OWI534" s="69"/>
      <c r="OWJ534" s="69"/>
      <c r="OWK534" s="69"/>
      <c r="OWL534" s="69"/>
      <c r="OWM534" s="69"/>
      <c r="OWN534" s="69"/>
      <c r="OWO534" s="69"/>
      <c r="OWP534" s="69"/>
      <c r="OWQ534" s="69"/>
      <c r="OWR534" s="69"/>
      <c r="OWS534" s="69"/>
      <c r="OWT534" s="69"/>
      <c r="OWU534" s="69"/>
      <c r="OWV534" s="69"/>
      <c r="OWW534" s="69"/>
      <c r="OWX534" s="69"/>
      <c r="OWY534" s="69"/>
      <c r="OWZ534" s="69"/>
      <c r="OXA534" s="69"/>
      <c r="OXB534" s="69"/>
      <c r="OXC534" s="69"/>
      <c r="OXD534" s="69"/>
      <c r="OXE534" s="69"/>
      <c r="OXF534" s="69"/>
      <c r="OXG534" s="69"/>
      <c r="OXH534" s="69"/>
      <c r="OXI534" s="69"/>
      <c r="OXJ534" s="69"/>
      <c r="OXK534" s="69"/>
      <c r="OXL534" s="69"/>
      <c r="OXM534" s="69"/>
      <c r="OXN534" s="69"/>
      <c r="OXO534" s="69"/>
      <c r="OXP534" s="69"/>
      <c r="OXQ534" s="69"/>
      <c r="OXR534" s="69"/>
      <c r="OXS534" s="69"/>
      <c r="OXT534" s="69"/>
      <c r="OXU534" s="69"/>
      <c r="OXV534" s="69"/>
      <c r="OXW534" s="69"/>
      <c r="OXX534" s="69"/>
      <c r="OXY534" s="69"/>
      <c r="OXZ534" s="69"/>
      <c r="OYA534" s="69"/>
      <c r="OYB534" s="69"/>
      <c r="OYC534" s="69"/>
      <c r="OYD534" s="69"/>
      <c r="OYE534" s="69"/>
      <c r="OYF534" s="69"/>
      <c r="OYG534" s="69"/>
      <c r="OYH534" s="69"/>
      <c r="OYI534" s="69"/>
      <c r="OYJ534" s="69"/>
      <c r="OYK534" s="69"/>
      <c r="OYL534" s="69"/>
      <c r="OYM534" s="69"/>
      <c r="OYN534" s="69"/>
      <c r="OYO534" s="69"/>
      <c r="OYP534" s="69"/>
      <c r="OYQ534" s="69"/>
      <c r="OYR534" s="69"/>
      <c r="OYS534" s="69"/>
      <c r="OYT534" s="69"/>
      <c r="OYU534" s="69"/>
      <c r="OYV534" s="69"/>
      <c r="OYW534" s="69"/>
      <c r="OYX534" s="69"/>
      <c r="OYY534" s="69"/>
      <c r="OYZ534" s="69"/>
      <c r="OZA534" s="69"/>
      <c r="OZB534" s="69"/>
      <c r="OZC534" s="69"/>
      <c r="OZD534" s="69"/>
      <c r="OZE534" s="69"/>
      <c r="OZF534" s="69"/>
      <c r="OZG534" s="69"/>
      <c r="OZH534" s="69"/>
      <c r="OZI534" s="69"/>
      <c r="OZJ534" s="69"/>
      <c r="OZK534" s="69"/>
      <c r="OZL534" s="69"/>
      <c r="OZM534" s="69"/>
      <c r="OZN534" s="69"/>
      <c r="OZO534" s="69"/>
      <c r="OZP534" s="69"/>
      <c r="OZQ534" s="69"/>
      <c r="OZR534" s="69"/>
      <c r="OZS534" s="69"/>
      <c r="OZT534" s="69"/>
      <c r="OZU534" s="69"/>
      <c r="OZV534" s="69"/>
      <c r="OZW534" s="69"/>
      <c r="OZX534" s="69"/>
      <c r="OZY534" s="69"/>
      <c r="OZZ534" s="69"/>
      <c r="PAA534" s="69"/>
      <c r="PAB534" s="69"/>
      <c r="PAC534" s="69"/>
      <c r="PAD534" s="69"/>
      <c r="PAE534" s="69"/>
      <c r="PAF534" s="69"/>
      <c r="PAG534" s="69"/>
      <c r="PAH534" s="69"/>
      <c r="PAI534" s="69"/>
      <c r="PAJ534" s="69"/>
      <c r="PAK534" s="69"/>
      <c r="PAL534" s="69"/>
      <c r="PAM534" s="69"/>
      <c r="PAN534" s="69"/>
      <c r="PAO534" s="69"/>
      <c r="PAP534" s="69"/>
      <c r="PAQ534" s="69"/>
      <c r="PAR534" s="69"/>
      <c r="PAS534" s="69"/>
      <c r="PAT534" s="69"/>
      <c r="PAU534" s="69"/>
      <c r="PAV534" s="69"/>
      <c r="PAW534" s="69"/>
      <c r="PAX534" s="69"/>
      <c r="PAY534" s="69"/>
      <c r="PAZ534" s="69"/>
      <c r="PBA534" s="69"/>
      <c r="PBB534" s="69"/>
      <c r="PBC534" s="69"/>
      <c r="PBD534" s="69"/>
      <c r="PBE534" s="69"/>
      <c r="PBF534" s="69"/>
      <c r="PBG534" s="69"/>
      <c r="PBH534" s="69"/>
      <c r="PBI534" s="69"/>
      <c r="PBJ534" s="69"/>
      <c r="PBK534" s="69"/>
      <c r="PBL534" s="69"/>
      <c r="PBM534" s="69"/>
      <c r="PBN534" s="69"/>
      <c r="PBO534" s="69"/>
      <c r="PBP534" s="69"/>
      <c r="PBQ534" s="69"/>
      <c r="PBR534" s="69"/>
      <c r="PBS534" s="69"/>
      <c r="PBT534" s="69"/>
      <c r="PBU534" s="69"/>
      <c r="PBV534" s="69"/>
      <c r="PBW534" s="69"/>
      <c r="PBX534" s="69"/>
      <c r="PBY534" s="69"/>
      <c r="PBZ534" s="69"/>
      <c r="PCA534" s="69"/>
      <c r="PCB534" s="69"/>
      <c r="PCC534" s="69"/>
      <c r="PCD534" s="69"/>
      <c r="PCE534" s="69"/>
      <c r="PCF534" s="69"/>
      <c r="PCG534" s="69"/>
      <c r="PCH534" s="69"/>
      <c r="PCI534" s="69"/>
      <c r="PCJ534" s="69"/>
      <c r="PCK534" s="69"/>
      <c r="PCL534" s="69"/>
      <c r="PCM534" s="69"/>
      <c r="PCN534" s="69"/>
      <c r="PCO534" s="69"/>
      <c r="PCP534" s="69"/>
      <c r="PCQ534" s="69"/>
      <c r="PCR534" s="69"/>
      <c r="PCS534" s="69"/>
      <c r="PCT534" s="69"/>
      <c r="PCU534" s="69"/>
      <c r="PCV534" s="69"/>
      <c r="PCW534" s="69"/>
      <c r="PCX534" s="69"/>
      <c r="PCY534" s="69"/>
      <c r="PCZ534" s="69"/>
      <c r="PDA534" s="69"/>
      <c r="PDB534" s="69"/>
      <c r="PDC534" s="69"/>
      <c r="PDD534" s="69"/>
      <c r="PDE534" s="69"/>
      <c r="PDF534" s="69"/>
      <c r="PDG534" s="69"/>
      <c r="PDH534" s="69"/>
      <c r="PDI534" s="69"/>
      <c r="PDJ534" s="69"/>
      <c r="PDK534" s="69"/>
      <c r="PDL534" s="69"/>
      <c r="PDM534" s="69"/>
      <c r="PDN534" s="69"/>
      <c r="PDO534" s="69"/>
      <c r="PDP534" s="69"/>
      <c r="PDQ534" s="69"/>
      <c r="PDR534" s="69"/>
      <c r="PDS534" s="69"/>
      <c r="PDT534" s="69"/>
      <c r="PDU534" s="69"/>
      <c r="PDV534" s="69"/>
      <c r="PDW534" s="69"/>
      <c r="PDX534" s="69"/>
      <c r="PDY534" s="69"/>
      <c r="PDZ534" s="69"/>
      <c r="PEA534" s="69"/>
      <c r="PEB534" s="69"/>
      <c r="PEC534" s="69"/>
      <c r="PED534" s="69"/>
      <c r="PEE534" s="69"/>
      <c r="PEF534" s="69"/>
      <c r="PEG534" s="69"/>
      <c r="PEH534" s="69"/>
      <c r="PEI534" s="69"/>
      <c r="PEJ534" s="69"/>
      <c r="PEK534" s="69"/>
      <c r="PEL534" s="69"/>
      <c r="PEM534" s="69"/>
      <c r="PEN534" s="69"/>
      <c r="PEO534" s="69"/>
      <c r="PEP534" s="69"/>
      <c r="PEQ534" s="69"/>
      <c r="PER534" s="69"/>
      <c r="PES534" s="69"/>
      <c r="PET534" s="69"/>
      <c r="PEU534" s="69"/>
      <c r="PEV534" s="69"/>
      <c r="PEW534" s="69"/>
      <c r="PEX534" s="69"/>
      <c r="PEY534" s="69"/>
      <c r="PEZ534" s="69"/>
      <c r="PFA534" s="69"/>
      <c r="PFB534" s="69"/>
      <c r="PFC534" s="69"/>
      <c r="PFD534" s="69"/>
      <c r="PFE534" s="69"/>
      <c r="PFF534" s="69"/>
      <c r="PFG534" s="69"/>
      <c r="PFH534" s="69"/>
      <c r="PFI534" s="69"/>
      <c r="PFJ534" s="69"/>
      <c r="PFK534" s="69"/>
      <c r="PFL534" s="69"/>
      <c r="PFM534" s="69"/>
      <c r="PFN534" s="69"/>
      <c r="PFO534" s="69"/>
      <c r="PFP534" s="69"/>
      <c r="PFQ534" s="69"/>
      <c r="PFR534" s="69"/>
      <c r="PFS534" s="69"/>
      <c r="PFT534" s="69"/>
      <c r="PFU534" s="69"/>
      <c r="PFV534" s="69"/>
      <c r="PFW534" s="69"/>
      <c r="PFX534" s="69"/>
      <c r="PFY534" s="69"/>
      <c r="PFZ534" s="69"/>
      <c r="PGA534" s="69"/>
      <c r="PGB534" s="69"/>
      <c r="PGC534" s="69"/>
      <c r="PGD534" s="69"/>
      <c r="PGE534" s="69"/>
      <c r="PGF534" s="69"/>
      <c r="PGG534" s="69"/>
      <c r="PGH534" s="69"/>
      <c r="PGI534" s="69"/>
      <c r="PGJ534" s="69"/>
      <c r="PGK534" s="69"/>
      <c r="PGL534" s="69"/>
      <c r="PGM534" s="69"/>
      <c r="PGN534" s="69"/>
      <c r="PGO534" s="69"/>
      <c r="PGP534" s="69"/>
      <c r="PGQ534" s="69"/>
      <c r="PGR534" s="69"/>
      <c r="PGS534" s="69"/>
      <c r="PGT534" s="69"/>
      <c r="PGU534" s="69"/>
      <c r="PGV534" s="69"/>
      <c r="PGW534" s="69"/>
      <c r="PGX534" s="69"/>
      <c r="PGY534" s="69"/>
      <c r="PGZ534" s="69"/>
      <c r="PHA534" s="69"/>
      <c r="PHB534" s="69"/>
      <c r="PHC534" s="69"/>
      <c r="PHD534" s="69"/>
      <c r="PHE534" s="69"/>
      <c r="PHF534" s="69"/>
      <c r="PHG534" s="69"/>
      <c r="PHH534" s="69"/>
      <c r="PHI534" s="69"/>
      <c r="PHJ534" s="69"/>
      <c r="PHK534" s="69"/>
      <c r="PHL534" s="69"/>
      <c r="PHM534" s="69"/>
      <c r="PHN534" s="69"/>
      <c r="PHO534" s="69"/>
      <c r="PHP534" s="69"/>
      <c r="PHQ534" s="69"/>
      <c r="PHR534" s="69"/>
      <c r="PHS534" s="69"/>
      <c r="PHT534" s="69"/>
      <c r="PHU534" s="69"/>
      <c r="PHV534" s="69"/>
      <c r="PHW534" s="69"/>
      <c r="PHX534" s="69"/>
      <c r="PHY534" s="69"/>
      <c r="PHZ534" s="69"/>
      <c r="PIA534" s="69"/>
      <c r="PIB534" s="69"/>
      <c r="PIC534" s="69"/>
      <c r="PID534" s="69"/>
      <c r="PIE534" s="69"/>
      <c r="PIF534" s="69"/>
      <c r="PIG534" s="69"/>
      <c r="PIH534" s="69"/>
      <c r="PII534" s="69"/>
      <c r="PIJ534" s="69"/>
      <c r="PIK534" s="69"/>
      <c r="PIL534" s="69"/>
      <c r="PIM534" s="69"/>
      <c r="PIN534" s="69"/>
      <c r="PIO534" s="69"/>
      <c r="PIP534" s="69"/>
      <c r="PIQ534" s="69"/>
      <c r="PIR534" s="69"/>
      <c r="PIS534" s="69"/>
      <c r="PIT534" s="69"/>
      <c r="PIU534" s="69"/>
      <c r="PIV534" s="69"/>
      <c r="PIW534" s="69"/>
      <c r="PIX534" s="69"/>
      <c r="PIY534" s="69"/>
      <c r="PIZ534" s="69"/>
      <c r="PJA534" s="69"/>
      <c r="PJB534" s="69"/>
      <c r="PJC534" s="69"/>
      <c r="PJD534" s="69"/>
      <c r="PJE534" s="69"/>
      <c r="PJF534" s="69"/>
      <c r="PJG534" s="69"/>
      <c r="PJH534" s="69"/>
      <c r="PJI534" s="69"/>
      <c r="PJJ534" s="69"/>
      <c r="PJK534" s="69"/>
      <c r="PJL534" s="69"/>
      <c r="PJM534" s="69"/>
      <c r="PJN534" s="69"/>
      <c r="PJO534" s="69"/>
      <c r="PJP534" s="69"/>
      <c r="PJQ534" s="69"/>
      <c r="PJR534" s="69"/>
      <c r="PJS534" s="69"/>
      <c r="PJT534" s="69"/>
      <c r="PJU534" s="69"/>
      <c r="PJV534" s="69"/>
      <c r="PJW534" s="69"/>
      <c r="PJX534" s="69"/>
      <c r="PJY534" s="69"/>
      <c r="PJZ534" s="69"/>
      <c r="PKA534" s="69"/>
      <c r="PKB534" s="69"/>
      <c r="PKC534" s="69"/>
      <c r="PKD534" s="69"/>
      <c r="PKE534" s="69"/>
      <c r="PKF534" s="69"/>
      <c r="PKG534" s="69"/>
      <c r="PKH534" s="69"/>
      <c r="PKI534" s="69"/>
      <c r="PKJ534" s="69"/>
      <c r="PKK534" s="69"/>
      <c r="PKL534" s="69"/>
      <c r="PKM534" s="69"/>
      <c r="PKN534" s="69"/>
      <c r="PKO534" s="69"/>
      <c r="PKP534" s="69"/>
      <c r="PKQ534" s="69"/>
      <c r="PKR534" s="69"/>
      <c r="PKS534" s="69"/>
      <c r="PKT534" s="69"/>
      <c r="PKU534" s="69"/>
      <c r="PKV534" s="69"/>
      <c r="PKW534" s="69"/>
      <c r="PKX534" s="69"/>
      <c r="PKY534" s="69"/>
      <c r="PKZ534" s="69"/>
      <c r="PLA534" s="69"/>
      <c r="PLB534" s="69"/>
      <c r="PLC534" s="69"/>
      <c r="PLD534" s="69"/>
      <c r="PLE534" s="69"/>
      <c r="PLF534" s="69"/>
      <c r="PLG534" s="69"/>
      <c r="PLH534" s="69"/>
      <c r="PLI534" s="69"/>
      <c r="PLJ534" s="69"/>
      <c r="PLK534" s="69"/>
      <c r="PLL534" s="69"/>
      <c r="PLM534" s="69"/>
      <c r="PLN534" s="69"/>
      <c r="PLO534" s="69"/>
      <c r="PLP534" s="69"/>
      <c r="PLQ534" s="69"/>
      <c r="PLR534" s="69"/>
      <c r="PLS534" s="69"/>
      <c r="PLT534" s="69"/>
      <c r="PLU534" s="69"/>
      <c r="PLV534" s="69"/>
      <c r="PLW534" s="69"/>
      <c r="PLX534" s="69"/>
      <c r="PLY534" s="69"/>
      <c r="PLZ534" s="69"/>
      <c r="PMA534" s="69"/>
      <c r="PMB534" s="69"/>
      <c r="PMC534" s="69"/>
      <c r="PMD534" s="69"/>
      <c r="PME534" s="69"/>
      <c r="PMF534" s="69"/>
      <c r="PMG534" s="69"/>
      <c r="PMH534" s="69"/>
      <c r="PMI534" s="69"/>
      <c r="PMJ534" s="69"/>
      <c r="PMK534" s="69"/>
      <c r="PML534" s="69"/>
      <c r="PMM534" s="69"/>
      <c r="PMN534" s="69"/>
      <c r="PMO534" s="69"/>
      <c r="PMP534" s="69"/>
      <c r="PMQ534" s="69"/>
      <c r="PMR534" s="69"/>
      <c r="PMS534" s="69"/>
      <c r="PMT534" s="69"/>
      <c r="PMU534" s="69"/>
      <c r="PMV534" s="69"/>
      <c r="PMW534" s="69"/>
      <c r="PMX534" s="69"/>
      <c r="PMY534" s="69"/>
      <c r="PMZ534" s="69"/>
      <c r="PNA534" s="69"/>
      <c r="PNB534" s="69"/>
      <c r="PNC534" s="69"/>
      <c r="PND534" s="69"/>
      <c r="PNE534" s="69"/>
      <c r="PNF534" s="69"/>
      <c r="PNG534" s="69"/>
      <c r="PNH534" s="69"/>
      <c r="PNI534" s="69"/>
      <c r="PNJ534" s="69"/>
      <c r="PNK534" s="69"/>
      <c r="PNL534" s="69"/>
      <c r="PNM534" s="69"/>
      <c r="PNN534" s="69"/>
      <c r="PNO534" s="69"/>
      <c r="PNP534" s="69"/>
      <c r="PNQ534" s="69"/>
      <c r="PNR534" s="69"/>
      <c r="PNS534" s="69"/>
      <c r="PNT534" s="69"/>
      <c r="PNU534" s="69"/>
      <c r="PNV534" s="69"/>
      <c r="PNW534" s="69"/>
      <c r="PNX534" s="69"/>
      <c r="PNY534" s="69"/>
      <c r="PNZ534" s="69"/>
      <c r="POA534" s="69"/>
      <c r="POB534" s="69"/>
      <c r="POC534" s="69"/>
      <c r="POD534" s="69"/>
      <c r="POE534" s="69"/>
      <c r="POF534" s="69"/>
      <c r="POG534" s="69"/>
      <c r="POH534" s="69"/>
      <c r="POI534" s="69"/>
      <c r="POJ534" s="69"/>
      <c r="POK534" s="69"/>
      <c r="POL534" s="69"/>
      <c r="POM534" s="69"/>
      <c r="PON534" s="69"/>
      <c r="POO534" s="69"/>
      <c r="POP534" s="69"/>
      <c r="POQ534" s="69"/>
      <c r="POR534" s="69"/>
      <c r="POS534" s="69"/>
      <c r="POT534" s="69"/>
      <c r="POU534" s="69"/>
      <c r="POV534" s="69"/>
      <c r="POW534" s="69"/>
      <c r="POX534" s="69"/>
      <c r="POY534" s="69"/>
      <c r="POZ534" s="69"/>
      <c r="PPA534" s="69"/>
      <c r="PPB534" s="69"/>
      <c r="PPC534" s="69"/>
      <c r="PPD534" s="69"/>
      <c r="PPE534" s="69"/>
      <c r="PPF534" s="69"/>
      <c r="PPG534" s="69"/>
      <c r="PPH534" s="69"/>
      <c r="PPI534" s="69"/>
      <c r="PPJ534" s="69"/>
      <c r="PPK534" s="69"/>
      <c r="PPL534" s="69"/>
      <c r="PPM534" s="69"/>
      <c r="PPN534" s="69"/>
      <c r="PPO534" s="69"/>
      <c r="PPP534" s="69"/>
      <c r="PPQ534" s="69"/>
      <c r="PPR534" s="69"/>
      <c r="PPS534" s="69"/>
      <c r="PPT534" s="69"/>
      <c r="PPU534" s="69"/>
      <c r="PPV534" s="69"/>
      <c r="PPW534" s="69"/>
      <c r="PPX534" s="69"/>
      <c r="PPY534" s="69"/>
      <c r="PPZ534" s="69"/>
      <c r="PQA534" s="69"/>
      <c r="PQB534" s="69"/>
      <c r="PQC534" s="69"/>
      <c r="PQD534" s="69"/>
      <c r="PQE534" s="69"/>
      <c r="PQF534" s="69"/>
      <c r="PQG534" s="69"/>
      <c r="PQH534" s="69"/>
      <c r="PQI534" s="69"/>
      <c r="PQJ534" s="69"/>
      <c r="PQK534" s="69"/>
      <c r="PQL534" s="69"/>
      <c r="PQM534" s="69"/>
      <c r="PQN534" s="69"/>
      <c r="PQO534" s="69"/>
      <c r="PQP534" s="69"/>
      <c r="PQQ534" s="69"/>
      <c r="PQR534" s="69"/>
      <c r="PQS534" s="69"/>
      <c r="PQT534" s="69"/>
      <c r="PQU534" s="69"/>
      <c r="PQV534" s="69"/>
      <c r="PQW534" s="69"/>
      <c r="PQX534" s="69"/>
      <c r="PQY534" s="69"/>
      <c r="PQZ534" s="69"/>
      <c r="PRA534" s="69"/>
      <c r="PRB534" s="69"/>
      <c r="PRC534" s="69"/>
      <c r="PRD534" s="69"/>
      <c r="PRE534" s="69"/>
      <c r="PRF534" s="69"/>
      <c r="PRG534" s="69"/>
      <c r="PRH534" s="69"/>
      <c r="PRI534" s="69"/>
      <c r="PRJ534" s="69"/>
      <c r="PRK534" s="69"/>
      <c r="PRL534" s="69"/>
      <c r="PRM534" s="69"/>
      <c r="PRN534" s="69"/>
      <c r="PRO534" s="69"/>
      <c r="PRP534" s="69"/>
      <c r="PRQ534" s="69"/>
      <c r="PRR534" s="69"/>
      <c r="PRS534" s="69"/>
      <c r="PRT534" s="69"/>
      <c r="PRU534" s="69"/>
      <c r="PRV534" s="69"/>
      <c r="PRW534" s="69"/>
      <c r="PRX534" s="69"/>
      <c r="PRY534" s="69"/>
      <c r="PRZ534" s="69"/>
      <c r="PSA534" s="69"/>
      <c r="PSB534" s="69"/>
      <c r="PSC534" s="69"/>
      <c r="PSD534" s="69"/>
      <c r="PSE534" s="69"/>
      <c r="PSF534" s="69"/>
      <c r="PSG534" s="69"/>
      <c r="PSH534" s="69"/>
      <c r="PSI534" s="69"/>
      <c r="PSJ534" s="69"/>
      <c r="PSK534" s="69"/>
      <c r="PSL534" s="69"/>
      <c r="PSM534" s="69"/>
      <c r="PSN534" s="69"/>
      <c r="PSO534" s="69"/>
      <c r="PSP534" s="69"/>
      <c r="PSQ534" s="69"/>
      <c r="PSR534" s="69"/>
      <c r="PSS534" s="69"/>
      <c r="PST534" s="69"/>
      <c r="PSU534" s="69"/>
      <c r="PSV534" s="69"/>
      <c r="PSW534" s="69"/>
      <c r="PSX534" s="69"/>
      <c r="PSY534" s="69"/>
      <c r="PSZ534" s="69"/>
      <c r="PTA534" s="69"/>
      <c r="PTB534" s="69"/>
      <c r="PTC534" s="69"/>
      <c r="PTD534" s="69"/>
      <c r="PTE534" s="69"/>
      <c r="PTF534" s="69"/>
      <c r="PTG534" s="69"/>
      <c r="PTH534" s="69"/>
      <c r="PTI534" s="69"/>
      <c r="PTJ534" s="69"/>
      <c r="PTK534" s="69"/>
      <c r="PTL534" s="69"/>
      <c r="PTM534" s="69"/>
      <c r="PTN534" s="69"/>
      <c r="PTO534" s="69"/>
      <c r="PTP534" s="69"/>
      <c r="PTQ534" s="69"/>
      <c r="PTR534" s="69"/>
      <c r="PTS534" s="69"/>
      <c r="PTT534" s="69"/>
      <c r="PTU534" s="69"/>
      <c r="PTV534" s="69"/>
      <c r="PTW534" s="69"/>
      <c r="PTX534" s="69"/>
      <c r="PTY534" s="69"/>
      <c r="PTZ534" s="69"/>
      <c r="PUA534" s="69"/>
      <c r="PUB534" s="69"/>
      <c r="PUC534" s="69"/>
      <c r="PUD534" s="69"/>
      <c r="PUE534" s="69"/>
      <c r="PUF534" s="69"/>
      <c r="PUG534" s="69"/>
      <c r="PUH534" s="69"/>
      <c r="PUI534" s="69"/>
      <c r="PUJ534" s="69"/>
      <c r="PUK534" s="69"/>
      <c r="PUL534" s="69"/>
      <c r="PUM534" s="69"/>
      <c r="PUN534" s="69"/>
      <c r="PUO534" s="69"/>
      <c r="PUP534" s="69"/>
      <c r="PUQ534" s="69"/>
      <c r="PUR534" s="69"/>
      <c r="PUS534" s="69"/>
      <c r="PUT534" s="69"/>
      <c r="PUU534" s="69"/>
      <c r="PUV534" s="69"/>
      <c r="PUW534" s="69"/>
      <c r="PUX534" s="69"/>
      <c r="PUY534" s="69"/>
      <c r="PUZ534" s="69"/>
      <c r="PVA534" s="69"/>
      <c r="PVB534" s="69"/>
      <c r="PVC534" s="69"/>
      <c r="PVD534" s="69"/>
      <c r="PVE534" s="69"/>
      <c r="PVF534" s="69"/>
      <c r="PVG534" s="69"/>
      <c r="PVH534" s="69"/>
      <c r="PVI534" s="69"/>
      <c r="PVJ534" s="69"/>
      <c r="PVK534" s="69"/>
      <c r="PVL534" s="69"/>
      <c r="PVM534" s="69"/>
      <c r="PVN534" s="69"/>
      <c r="PVO534" s="69"/>
      <c r="PVP534" s="69"/>
      <c r="PVQ534" s="69"/>
      <c r="PVR534" s="69"/>
      <c r="PVS534" s="69"/>
      <c r="PVT534" s="69"/>
      <c r="PVU534" s="69"/>
      <c r="PVV534" s="69"/>
      <c r="PVW534" s="69"/>
      <c r="PVX534" s="69"/>
      <c r="PVY534" s="69"/>
      <c r="PVZ534" s="69"/>
      <c r="PWA534" s="69"/>
      <c r="PWB534" s="69"/>
      <c r="PWC534" s="69"/>
      <c r="PWD534" s="69"/>
      <c r="PWE534" s="69"/>
      <c r="PWF534" s="69"/>
      <c r="PWG534" s="69"/>
      <c r="PWH534" s="69"/>
      <c r="PWI534" s="69"/>
      <c r="PWJ534" s="69"/>
      <c r="PWK534" s="69"/>
      <c r="PWL534" s="69"/>
      <c r="PWM534" s="69"/>
      <c r="PWN534" s="69"/>
      <c r="PWO534" s="69"/>
      <c r="PWP534" s="69"/>
      <c r="PWQ534" s="69"/>
      <c r="PWR534" s="69"/>
      <c r="PWS534" s="69"/>
      <c r="PWT534" s="69"/>
      <c r="PWU534" s="69"/>
      <c r="PWV534" s="69"/>
      <c r="PWW534" s="69"/>
      <c r="PWX534" s="69"/>
      <c r="PWY534" s="69"/>
      <c r="PWZ534" s="69"/>
      <c r="PXA534" s="69"/>
      <c r="PXB534" s="69"/>
      <c r="PXC534" s="69"/>
      <c r="PXD534" s="69"/>
      <c r="PXE534" s="69"/>
      <c r="PXF534" s="69"/>
      <c r="PXG534" s="69"/>
      <c r="PXH534" s="69"/>
      <c r="PXI534" s="69"/>
      <c r="PXJ534" s="69"/>
      <c r="PXK534" s="69"/>
      <c r="PXL534" s="69"/>
      <c r="PXM534" s="69"/>
      <c r="PXN534" s="69"/>
      <c r="PXO534" s="69"/>
      <c r="PXP534" s="69"/>
      <c r="PXQ534" s="69"/>
      <c r="PXR534" s="69"/>
      <c r="PXS534" s="69"/>
      <c r="PXT534" s="69"/>
      <c r="PXU534" s="69"/>
      <c r="PXV534" s="69"/>
      <c r="PXW534" s="69"/>
      <c r="PXX534" s="69"/>
      <c r="PXY534" s="69"/>
      <c r="PXZ534" s="69"/>
      <c r="PYA534" s="69"/>
      <c r="PYB534" s="69"/>
      <c r="PYC534" s="69"/>
      <c r="PYD534" s="69"/>
      <c r="PYE534" s="69"/>
      <c r="PYF534" s="69"/>
      <c r="PYG534" s="69"/>
      <c r="PYH534" s="69"/>
      <c r="PYI534" s="69"/>
      <c r="PYJ534" s="69"/>
      <c r="PYK534" s="69"/>
      <c r="PYL534" s="69"/>
      <c r="PYM534" s="69"/>
      <c r="PYN534" s="69"/>
      <c r="PYO534" s="69"/>
      <c r="PYP534" s="69"/>
      <c r="PYQ534" s="69"/>
      <c r="PYR534" s="69"/>
      <c r="PYS534" s="69"/>
      <c r="PYT534" s="69"/>
      <c r="PYU534" s="69"/>
      <c r="PYV534" s="69"/>
      <c r="PYW534" s="69"/>
      <c r="PYX534" s="69"/>
      <c r="PYY534" s="69"/>
      <c r="PYZ534" s="69"/>
      <c r="PZA534" s="69"/>
      <c r="PZB534" s="69"/>
      <c r="PZC534" s="69"/>
      <c r="PZD534" s="69"/>
      <c r="PZE534" s="69"/>
      <c r="PZF534" s="69"/>
      <c r="PZG534" s="69"/>
      <c r="PZH534" s="69"/>
      <c r="PZI534" s="69"/>
      <c r="PZJ534" s="69"/>
      <c r="PZK534" s="69"/>
      <c r="PZL534" s="69"/>
      <c r="PZM534" s="69"/>
      <c r="PZN534" s="69"/>
      <c r="PZO534" s="69"/>
      <c r="PZP534" s="69"/>
      <c r="PZQ534" s="69"/>
      <c r="PZR534" s="69"/>
      <c r="PZS534" s="69"/>
      <c r="PZT534" s="69"/>
      <c r="PZU534" s="69"/>
      <c r="PZV534" s="69"/>
      <c r="PZW534" s="69"/>
      <c r="PZX534" s="69"/>
      <c r="PZY534" s="69"/>
      <c r="PZZ534" s="69"/>
      <c r="QAA534" s="69"/>
      <c r="QAB534" s="69"/>
      <c r="QAC534" s="69"/>
      <c r="QAD534" s="69"/>
      <c r="QAE534" s="69"/>
      <c r="QAF534" s="69"/>
      <c r="QAG534" s="69"/>
      <c r="QAH534" s="69"/>
      <c r="QAI534" s="69"/>
      <c r="QAJ534" s="69"/>
      <c r="QAK534" s="69"/>
      <c r="QAL534" s="69"/>
      <c r="QAM534" s="69"/>
      <c r="QAN534" s="69"/>
      <c r="QAO534" s="69"/>
      <c r="QAP534" s="69"/>
      <c r="QAQ534" s="69"/>
      <c r="QAR534" s="69"/>
      <c r="QAS534" s="69"/>
      <c r="QAT534" s="69"/>
      <c r="QAU534" s="69"/>
      <c r="QAV534" s="69"/>
      <c r="QAW534" s="69"/>
      <c r="QAX534" s="69"/>
      <c r="QAY534" s="69"/>
      <c r="QAZ534" s="69"/>
      <c r="QBA534" s="69"/>
      <c r="QBB534" s="69"/>
      <c r="QBC534" s="69"/>
      <c r="QBD534" s="69"/>
      <c r="QBE534" s="69"/>
      <c r="QBF534" s="69"/>
      <c r="QBG534" s="69"/>
      <c r="QBH534" s="69"/>
      <c r="QBI534" s="69"/>
      <c r="QBJ534" s="69"/>
      <c r="QBK534" s="69"/>
      <c r="QBL534" s="69"/>
      <c r="QBM534" s="69"/>
      <c r="QBN534" s="69"/>
      <c r="QBO534" s="69"/>
      <c r="QBP534" s="69"/>
      <c r="QBQ534" s="69"/>
      <c r="QBR534" s="69"/>
      <c r="QBS534" s="69"/>
      <c r="QBT534" s="69"/>
      <c r="QBU534" s="69"/>
      <c r="QBV534" s="69"/>
      <c r="QBW534" s="69"/>
      <c r="QBX534" s="69"/>
      <c r="QBY534" s="69"/>
      <c r="QBZ534" s="69"/>
      <c r="QCA534" s="69"/>
      <c r="QCB534" s="69"/>
      <c r="QCC534" s="69"/>
      <c r="QCD534" s="69"/>
      <c r="QCE534" s="69"/>
      <c r="QCF534" s="69"/>
      <c r="QCG534" s="69"/>
      <c r="QCH534" s="69"/>
      <c r="QCI534" s="69"/>
      <c r="QCJ534" s="69"/>
      <c r="QCK534" s="69"/>
      <c r="QCL534" s="69"/>
      <c r="QCM534" s="69"/>
      <c r="QCN534" s="69"/>
      <c r="QCO534" s="69"/>
      <c r="QCP534" s="69"/>
      <c r="QCQ534" s="69"/>
      <c r="QCR534" s="69"/>
      <c r="QCS534" s="69"/>
      <c r="QCT534" s="69"/>
      <c r="QCU534" s="69"/>
      <c r="QCV534" s="69"/>
      <c r="QCW534" s="69"/>
      <c r="QCX534" s="69"/>
      <c r="QCY534" s="69"/>
      <c r="QCZ534" s="69"/>
      <c r="QDA534" s="69"/>
      <c r="QDB534" s="69"/>
      <c r="QDC534" s="69"/>
      <c r="QDD534" s="69"/>
      <c r="QDE534" s="69"/>
      <c r="QDF534" s="69"/>
      <c r="QDG534" s="69"/>
      <c r="QDH534" s="69"/>
      <c r="QDI534" s="69"/>
      <c r="QDJ534" s="69"/>
      <c r="QDK534" s="69"/>
      <c r="QDL534" s="69"/>
      <c r="QDM534" s="69"/>
      <c r="QDN534" s="69"/>
      <c r="QDO534" s="69"/>
      <c r="QDP534" s="69"/>
      <c r="QDQ534" s="69"/>
      <c r="QDR534" s="69"/>
      <c r="QDS534" s="69"/>
      <c r="QDT534" s="69"/>
      <c r="QDU534" s="69"/>
      <c r="QDV534" s="69"/>
      <c r="QDW534" s="69"/>
      <c r="QDX534" s="69"/>
      <c r="QDY534" s="69"/>
      <c r="QDZ534" s="69"/>
      <c r="QEA534" s="69"/>
      <c r="QEB534" s="69"/>
      <c r="QEC534" s="69"/>
      <c r="QED534" s="69"/>
      <c r="QEE534" s="69"/>
      <c r="QEF534" s="69"/>
      <c r="QEG534" s="69"/>
      <c r="QEH534" s="69"/>
      <c r="QEI534" s="69"/>
      <c r="QEJ534" s="69"/>
      <c r="QEK534" s="69"/>
      <c r="QEL534" s="69"/>
      <c r="QEM534" s="69"/>
      <c r="QEN534" s="69"/>
      <c r="QEO534" s="69"/>
      <c r="QEP534" s="69"/>
      <c r="QEQ534" s="69"/>
      <c r="QER534" s="69"/>
      <c r="QES534" s="69"/>
      <c r="QET534" s="69"/>
      <c r="QEU534" s="69"/>
      <c r="QEV534" s="69"/>
      <c r="QEW534" s="69"/>
      <c r="QEX534" s="69"/>
      <c r="QEY534" s="69"/>
      <c r="QEZ534" s="69"/>
      <c r="QFA534" s="69"/>
      <c r="QFB534" s="69"/>
      <c r="QFC534" s="69"/>
      <c r="QFD534" s="69"/>
      <c r="QFE534" s="69"/>
      <c r="QFF534" s="69"/>
      <c r="QFG534" s="69"/>
      <c r="QFH534" s="69"/>
      <c r="QFI534" s="69"/>
      <c r="QFJ534" s="69"/>
      <c r="QFK534" s="69"/>
      <c r="QFL534" s="69"/>
      <c r="QFM534" s="69"/>
      <c r="QFN534" s="69"/>
      <c r="QFO534" s="69"/>
      <c r="QFP534" s="69"/>
      <c r="QFQ534" s="69"/>
      <c r="QFR534" s="69"/>
      <c r="QFS534" s="69"/>
      <c r="QFT534" s="69"/>
      <c r="QFU534" s="69"/>
      <c r="QFV534" s="69"/>
      <c r="QFW534" s="69"/>
      <c r="QFX534" s="69"/>
      <c r="QFY534" s="69"/>
      <c r="QFZ534" s="69"/>
      <c r="QGA534" s="69"/>
      <c r="QGB534" s="69"/>
      <c r="QGC534" s="69"/>
      <c r="QGD534" s="69"/>
      <c r="QGE534" s="69"/>
      <c r="QGF534" s="69"/>
      <c r="QGG534" s="69"/>
      <c r="QGH534" s="69"/>
      <c r="QGI534" s="69"/>
      <c r="QGJ534" s="69"/>
      <c r="QGK534" s="69"/>
      <c r="QGL534" s="69"/>
      <c r="QGM534" s="69"/>
      <c r="QGN534" s="69"/>
      <c r="QGO534" s="69"/>
      <c r="QGP534" s="69"/>
      <c r="QGQ534" s="69"/>
      <c r="QGR534" s="69"/>
      <c r="QGS534" s="69"/>
      <c r="QGT534" s="69"/>
      <c r="QGU534" s="69"/>
      <c r="QGV534" s="69"/>
      <c r="QGW534" s="69"/>
      <c r="QGX534" s="69"/>
      <c r="QGY534" s="69"/>
      <c r="QGZ534" s="69"/>
      <c r="QHA534" s="69"/>
      <c r="QHB534" s="69"/>
      <c r="QHC534" s="69"/>
      <c r="QHD534" s="69"/>
      <c r="QHE534" s="69"/>
      <c r="QHF534" s="69"/>
      <c r="QHG534" s="69"/>
      <c r="QHH534" s="69"/>
      <c r="QHI534" s="69"/>
      <c r="QHJ534" s="69"/>
      <c r="QHK534" s="69"/>
      <c r="QHL534" s="69"/>
      <c r="QHM534" s="69"/>
      <c r="QHN534" s="69"/>
      <c r="QHO534" s="69"/>
      <c r="QHP534" s="69"/>
      <c r="QHQ534" s="69"/>
      <c r="QHR534" s="69"/>
      <c r="QHS534" s="69"/>
      <c r="QHT534" s="69"/>
      <c r="QHU534" s="69"/>
      <c r="QHV534" s="69"/>
      <c r="QHW534" s="69"/>
      <c r="QHX534" s="69"/>
      <c r="QHY534" s="69"/>
      <c r="QHZ534" s="69"/>
      <c r="QIA534" s="69"/>
      <c r="QIB534" s="69"/>
      <c r="QIC534" s="69"/>
      <c r="QID534" s="69"/>
      <c r="QIE534" s="69"/>
      <c r="QIF534" s="69"/>
      <c r="QIG534" s="69"/>
      <c r="QIH534" s="69"/>
      <c r="QII534" s="69"/>
      <c r="QIJ534" s="69"/>
      <c r="QIK534" s="69"/>
      <c r="QIL534" s="69"/>
      <c r="QIM534" s="69"/>
      <c r="QIN534" s="69"/>
      <c r="QIO534" s="69"/>
      <c r="QIP534" s="69"/>
      <c r="QIQ534" s="69"/>
      <c r="QIR534" s="69"/>
      <c r="QIS534" s="69"/>
      <c r="QIT534" s="69"/>
      <c r="QIU534" s="69"/>
      <c r="QIV534" s="69"/>
      <c r="QIW534" s="69"/>
      <c r="QIX534" s="69"/>
      <c r="QIY534" s="69"/>
      <c r="QIZ534" s="69"/>
      <c r="QJA534" s="69"/>
      <c r="QJB534" s="69"/>
      <c r="QJC534" s="69"/>
      <c r="QJD534" s="69"/>
      <c r="QJE534" s="69"/>
      <c r="QJF534" s="69"/>
      <c r="QJG534" s="69"/>
      <c r="QJH534" s="69"/>
      <c r="QJI534" s="69"/>
      <c r="QJJ534" s="69"/>
      <c r="QJK534" s="69"/>
      <c r="QJL534" s="69"/>
      <c r="QJM534" s="69"/>
      <c r="QJN534" s="69"/>
      <c r="QJO534" s="69"/>
      <c r="QJP534" s="69"/>
      <c r="QJQ534" s="69"/>
      <c r="QJR534" s="69"/>
      <c r="QJS534" s="69"/>
      <c r="QJT534" s="69"/>
      <c r="QJU534" s="69"/>
      <c r="QJV534" s="69"/>
      <c r="QJW534" s="69"/>
      <c r="QJX534" s="69"/>
      <c r="QJY534" s="69"/>
      <c r="QJZ534" s="69"/>
      <c r="QKA534" s="69"/>
      <c r="QKB534" s="69"/>
      <c r="QKC534" s="69"/>
      <c r="QKD534" s="69"/>
      <c r="QKE534" s="69"/>
      <c r="QKF534" s="69"/>
      <c r="QKG534" s="69"/>
      <c r="QKH534" s="69"/>
      <c r="QKI534" s="69"/>
      <c r="QKJ534" s="69"/>
      <c r="QKK534" s="69"/>
      <c r="QKL534" s="69"/>
      <c r="QKM534" s="69"/>
      <c r="QKN534" s="69"/>
      <c r="QKO534" s="69"/>
      <c r="QKP534" s="69"/>
      <c r="QKQ534" s="69"/>
      <c r="QKR534" s="69"/>
      <c r="QKS534" s="69"/>
      <c r="QKT534" s="69"/>
      <c r="QKU534" s="69"/>
      <c r="QKV534" s="69"/>
      <c r="QKW534" s="69"/>
      <c r="QKX534" s="69"/>
      <c r="QKY534" s="69"/>
      <c r="QKZ534" s="69"/>
      <c r="QLA534" s="69"/>
      <c r="QLB534" s="69"/>
      <c r="QLC534" s="69"/>
      <c r="QLD534" s="69"/>
      <c r="QLE534" s="69"/>
      <c r="QLF534" s="69"/>
      <c r="QLG534" s="69"/>
      <c r="QLH534" s="69"/>
      <c r="QLI534" s="69"/>
      <c r="QLJ534" s="69"/>
      <c r="QLK534" s="69"/>
      <c r="QLL534" s="69"/>
      <c r="QLM534" s="69"/>
      <c r="QLN534" s="69"/>
      <c r="QLO534" s="69"/>
      <c r="QLP534" s="69"/>
      <c r="QLQ534" s="69"/>
      <c r="QLR534" s="69"/>
      <c r="QLS534" s="69"/>
      <c r="QLT534" s="69"/>
      <c r="QLU534" s="69"/>
      <c r="QLV534" s="69"/>
      <c r="QLW534" s="69"/>
      <c r="QLX534" s="69"/>
      <c r="QLY534" s="69"/>
      <c r="QLZ534" s="69"/>
      <c r="QMA534" s="69"/>
      <c r="QMB534" s="69"/>
      <c r="QMC534" s="69"/>
      <c r="QMD534" s="69"/>
      <c r="QME534" s="69"/>
      <c r="QMF534" s="69"/>
      <c r="QMG534" s="69"/>
      <c r="QMH534" s="69"/>
      <c r="QMI534" s="69"/>
      <c r="QMJ534" s="69"/>
      <c r="QMK534" s="69"/>
      <c r="QML534" s="69"/>
      <c r="QMM534" s="69"/>
      <c r="QMN534" s="69"/>
      <c r="QMO534" s="69"/>
      <c r="QMP534" s="69"/>
      <c r="QMQ534" s="69"/>
      <c r="QMR534" s="69"/>
      <c r="QMS534" s="69"/>
      <c r="QMT534" s="69"/>
      <c r="QMU534" s="69"/>
      <c r="QMV534" s="69"/>
      <c r="QMW534" s="69"/>
      <c r="QMX534" s="69"/>
      <c r="QMY534" s="69"/>
      <c r="QMZ534" s="69"/>
      <c r="QNA534" s="69"/>
      <c r="QNB534" s="69"/>
      <c r="QNC534" s="69"/>
      <c r="QND534" s="69"/>
      <c r="QNE534" s="69"/>
      <c r="QNF534" s="69"/>
      <c r="QNG534" s="69"/>
      <c r="QNH534" s="69"/>
      <c r="QNI534" s="69"/>
      <c r="QNJ534" s="69"/>
      <c r="QNK534" s="69"/>
      <c r="QNL534" s="69"/>
      <c r="QNM534" s="69"/>
      <c r="QNN534" s="69"/>
      <c r="QNO534" s="69"/>
      <c r="QNP534" s="69"/>
      <c r="QNQ534" s="69"/>
      <c r="QNR534" s="69"/>
      <c r="QNS534" s="69"/>
      <c r="QNT534" s="69"/>
      <c r="QNU534" s="69"/>
      <c r="QNV534" s="69"/>
      <c r="QNW534" s="69"/>
      <c r="QNX534" s="69"/>
      <c r="QNY534" s="69"/>
      <c r="QNZ534" s="69"/>
      <c r="QOA534" s="69"/>
      <c r="QOB534" s="69"/>
      <c r="QOC534" s="69"/>
      <c r="QOD534" s="69"/>
      <c r="QOE534" s="69"/>
      <c r="QOF534" s="69"/>
      <c r="QOG534" s="69"/>
      <c r="QOH534" s="69"/>
      <c r="QOI534" s="69"/>
      <c r="QOJ534" s="69"/>
      <c r="QOK534" s="69"/>
      <c r="QOL534" s="69"/>
      <c r="QOM534" s="69"/>
      <c r="QON534" s="69"/>
      <c r="QOO534" s="69"/>
      <c r="QOP534" s="69"/>
      <c r="QOQ534" s="69"/>
      <c r="QOR534" s="69"/>
      <c r="QOS534" s="69"/>
      <c r="QOT534" s="69"/>
      <c r="QOU534" s="69"/>
      <c r="QOV534" s="69"/>
      <c r="QOW534" s="69"/>
      <c r="QOX534" s="69"/>
      <c r="QOY534" s="69"/>
      <c r="QOZ534" s="69"/>
      <c r="QPA534" s="69"/>
      <c r="QPB534" s="69"/>
      <c r="QPC534" s="69"/>
      <c r="QPD534" s="69"/>
      <c r="QPE534" s="69"/>
      <c r="QPF534" s="69"/>
      <c r="QPG534" s="69"/>
      <c r="QPH534" s="69"/>
      <c r="QPI534" s="69"/>
      <c r="QPJ534" s="69"/>
      <c r="QPK534" s="69"/>
      <c r="QPL534" s="69"/>
      <c r="QPM534" s="69"/>
      <c r="QPN534" s="69"/>
      <c r="QPO534" s="69"/>
      <c r="QPP534" s="69"/>
      <c r="QPQ534" s="69"/>
      <c r="QPR534" s="69"/>
      <c r="QPS534" s="69"/>
      <c r="QPT534" s="69"/>
      <c r="QPU534" s="69"/>
      <c r="QPV534" s="69"/>
      <c r="QPW534" s="69"/>
      <c r="QPX534" s="69"/>
      <c r="QPY534" s="69"/>
      <c r="QPZ534" s="69"/>
      <c r="QQA534" s="69"/>
      <c r="QQB534" s="69"/>
      <c r="QQC534" s="69"/>
      <c r="QQD534" s="69"/>
      <c r="QQE534" s="69"/>
      <c r="QQF534" s="69"/>
      <c r="QQG534" s="69"/>
      <c r="QQH534" s="69"/>
      <c r="QQI534" s="69"/>
      <c r="QQJ534" s="69"/>
      <c r="QQK534" s="69"/>
      <c r="QQL534" s="69"/>
      <c r="QQM534" s="69"/>
      <c r="QQN534" s="69"/>
      <c r="QQO534" s="69"/>
      <c r="QQP534" s="69"/>
      <c r="QQQ534" s="69"/>
      <c r="QQR534" s="69"/>
      <c r="QQS534" s="69"/>
      <c r="QQT534" s="69"/>
      <c r="QQU534" s="69"/>
      <c r="QQV534" s="69"/>
      <c r="QQW534" s="69"/>
      <c r="QQX534" s="69"/>
      <c r="QQY534" s="69"/>
      <c r="QQZ534" s="69"/>
      <c r="QRA534" s="69"/>
      <c r="QRB534" s="69"/>
      <c r="QRC534" s="69"/>
      <c r="QRD534" s="69"/>
      <c r="QRE534" s="69"/>
      <c r="QRF534" s="69"/>
      <c r="QRG534" s="69"/>
      <c r="QRH534" s="69"/>
      <c r="QRI534" s="69"/>
      <c r="QRJ534" s="69"/>
      <c r="QRK534" s="69"/>
      <c r="QRL534" s="69"/>
      <c r="QRM534" s="69"/>
      <c r="QRN534" s="69"/>
      <c r="QRO534" s="69"/>
      <c r="QRP534" s="69"/>
      <c r="QRQ534" s="69"/>
      <c r="QRR534" s="69"/>
      <c r="QRS534" s="69"/>
      <c r="QRT534" s="69"/>
      <c r="QRU534" s="69"/>
      <c r="QRV534" s="69"/>
      <c r="QRW534" s="69"/>
      <c r="QRX534" s="69"/>
      <c r="QRY534" s="69"/>
      <c r="QRZ534" s="69"/>
      <c r="QSA534" s="69"/>
      <c r="QSB534" s="69"/>
      <c r="QSC534" s="69"/>
      <c r="QSD534" s="69"/>
      <c r="QSE534" s="69"/>
      <c r="QSF534" s="69"/>
      <c r="QSG534" s="69"/>
      <c r="QSH534" s="69"/>
      <c r="QSI534" s="69"/>
      <c r="QSJ534" s="69"/>
      <c r="QSK534" s="69"/>
      <c r="QSL534" s="69"/>
      <c r="QSM534" s="69"/>
      <c r="QSN534" s="69"/>
      <c r="QSO534" s="69"/>
      <c r="QSP534" s="69"/>
      <c r="QSQ534" s="69"/>
      <c r="QSR534" s="69"/>
      <c r="QSS534" s="69"/>
      <c r="QST534" s="69"/>
      <c r="QSU534" s="69"/>
      <c r="QSV534" s="69"/>
      <c r="QSW534" s="69"/>
      <c r="QSX534" s="69"/>
      <c r="QSY534" s="69"/>
      <c r="QSZ534" s="69"/>
      <c r="QTA534" s="69"/>
      <c r="QTB534" s="69"/>
      <c r="QTC534" s="69"/>
      <c r="QTD534" s="69"/>
      <c r="QTE534" s="69"/>
      <c r="QTF534" s="69"/>
      <c r="QTG534" s="69"/>
      <c r="QTH534" s="69"/>
      <c r="QTI534" s="69"/>
      <c r="QTJ534" s="69"/>
      <c r="QTK534" s="69"/>
      <c r="QTL534" s="69"/>
      <c r="QTM534" s="69"/>
      <c r="QTN534" s="69"/>
      <c r="QTO534" s="69"/>
      <c r="QTP534" s="69"/>
      <c r="QTQ534" s="69"/>
      <c r="QTR534" s="69"/>
      <c r="QTS534" s="69"/>
      <c r="QTT534" s="69"/>
      <c r="QTU534" s="69"/>
      <c r="QTV534" s="69"/>
      <c r="QTW534" s="69"/>
      <c r="QTX534" s="69"/>
      <c r="QTY534" s="69"/>
      <c r="QTZ534" s="69"/>
      <c r="QUA534" s="69"/>
      <c r="QUB534" s="69"/>
      <c r="QUC534" s="69"/>
      <c r="QUD534" s="69"/>
      <c r="QUE534" s="69"/>
      <c r="QUF534" s="69"/>
      <c r="QUG534" s="69"/>
      <c r="QUH534" s="69"/>
      <c r="QUI534" s="69"/>
      <c r="QUJ534" s="69"/>
      <c r="QUK534" s="69"/>
      <c r="QUL534" s="69"/>
      <c r="QUM534" s="69"/>
      <c r="QUN534" s="69"/>
      <c r="QUO534" s="69"/>
      <c r="QUP534" s="69"/>
      <c r="QUQ534" s="69"/>
      <c r="QUR534" s="69"/>
      <c r="QUS534" s="69"/>
      <c r="QUT534" s="69"/>
      <c r="QUU534" s="69"/>
      <c r="QUV534" s="69"/>
      <c r="QUW534" s="69"/>
      <c r="QUX534" s="69"/>
      <c r="QUY534" s="69"/>
      <c r="QUZ534" s="69"/>
      <c r="QVA534" s="69"/>
      <c r="QVB534" s="69"/>
      <c r="QVC534" s="69"/>
      <c r="QVD534" s="69"/>
      <c r="QVE534" s="69"/>
      <c r="QVF534" s="69"/>
      <c r="QVG534" s="69"/>
      <c r="QVH534" s="69"/>
      <c r="QVI534" s="69"/>
      <c r="QVJ534" s="69"/>
      <c r="QVK534" s="69"/>
      <c r="QVL534" s="69"/>
      <c r="QVM534" s="69"/>
      <c r="QVN534" s="69"/>
      <c r="QVO534" s="69"/>
      <c r="QVP534" s="69"/>
      <c r="QVQ534" s="69"/>
      <c r="QVR534" s="69"/>
      <c r="QVS534" s="69"/>
      <c r="QVT534" s="69"/>
      <c r="QVU534" s="69"/>
      <c r="QVV534" s="69"/>
      <c r="QVW534" s="69"/>
      <c r="QVX534" s="69"/>
      <c r="QVY534" s="69"/>
      <c r="QVZ534" s="69"/>
      <c r="QWA534" s="69"/>
      <c r="QWB534" s="69"/>
      <c r="QWC534" s="69"/>
      <c r="QWD534" s="69"/>
      <c r="QWE534" s="69"/>
      <c r="QWF534" s="69"/>
      <c r="QWG534" s="69"/>
      <c r="QWH534" s="69"/>
      <c r="QWI534" s="69"/>
      <c r="QWJ534" s="69"/>
      <c r="QWK534" s="69"/>
      <c r="QWL534" s="69"/>
      <c r="QWM534" s="69"/>
      <c r="QWN534" s="69"/>
      <c r="QWO534" s="69"/>
      <c r="QWP534" s="69"/>
      <c r="QWQ534" s="69"/>
      <c r="QWR534" s="69"/>
      <c r="QWS534" s="69"/>
      <c r="QWT534" s="69"/>
      <c r="QWU534" s="69"/>
      <c r="QWV534" s="69"/>
      <c r="QWW534" s="69"/>
      <c r="QWX534" s="69"/>
      <c r="QWY534" s="69"/>
      <c r="QWZ534" s="69"/>
      <c r="QXA534" s="69"/>
      <c r="QXB534" s="69"/>
      <c r="QXC534" s="69"/>
      <c r="QXD534" s="69"/>
      <c r="QXE534" s="69"/>
      <c r="QXF534" s="69"/>
      <c r="QXG534" s="69"/>
      <c r="QXH534" s="69"/>
      <c r="QXI534" s="69"/>
      <c r="QXJ534" s="69"/>
      <c r="QXK534" s="69"/>
      <c r="QXL534" s="69"/>
      <c r="QXM534" s="69"/>
      <c r="QXN534" s="69"/>
      <c r="QXO534" s="69"/>
      <c r="QXP534" s="69"/>
      <c r="QXQ534" s="69"/>
      <c r="QXR534" s="69"/>
      <c r="QXS534" s="69"/>
      <c r="QXT534" s="69"/>
      <c r="QXU534" s="69"/>
      <c r="QXV534" s="69"/>
      <c r="QXW534" s="69"/>
      <c r="QXX534" s="69"/>
      <c r="QXY534" s="69"/>
      <c r="QXZ534" s="69"/>
      <c r="QYA534" s="69"/>
      <c r="QYB534" s="69"/>
      <c r="QYC534" s="69"/>
      <c r="QYD534" s="69"/>
      <c r="QYE534" s="69"/>
      <c r="QYF534" s="69"/>
      <c r="QYG534" s="69"/>
      <c r="QYH534" s="69"/>
      <c r="QYI534" s="69"/>
      <c r="QYJ534" s="69"/>
      <c r="QYK534" s="69"/>
      <c r="QYL534" s="69"/>
      <c r="QYM534" s="69"/>
      <c r="QYN534" s="69"/>
      <c r="QYO534" s="69"/>
      <c r="QYP534" s="69"/>
      <c r="QYQ534" s="69"/>
      <c r="QYR534" s="69"/>
      <c r="QYS534" s="69"/>
      <c r="QYT534" s="69"/>
      <c r="QYU534" s="69"/>
      <c r="QYV534" s="69"/>
      <c r="QYW534" s="69"/>
      <c r="QYX534" s="69"/>
      <c r="QYY534" s="69"/>
      <c r="QYZ534" s="69"/>
      <c r="QZA534" s="69"/>
      <c r="QZB534" s="69"/>
      <c r="QZC534" s="69"/>
      <c r="QZD534" s="69"/>
      <c r="QZE534" s="69"/>
      <c r="QZF534" s="69"/>
      <c r="QZG534" s="69"/>
      <c r="QZH534" s="69"/>
      <c r="QZI534" s="69"/>
      <c r="QZJ534" s="69"/>
      <c r="QZK534" s="69"/>
      <c r="QZL534" s="69"/>
      <c r="QZM534" s="69"/>
      <c r="QZN534" s="69"/>
      <c r="QZO534" s="69"/>
      <c r="QZP534" s="69"/>
      <c r="QZQ534" s="69"/>
      <c r="QZR534" s="69"/>
      <c r="QZS534" s="69"/>
      <c r="QZT534" s="69"/>
      <c r="QZU534" s="69"/>
      <c r="QZV534" s="69"/>
      <c r="QZW534" s="69"/>
      <c r="QZX534" s="69"/>
      <c r="QZY534" s="69"/>
      <c r="QZZ534" s="69"/>
      <c r="RAA534" s="69"/>
      <c r="RAB534" s="69"/>
      <c r="RAC534" s="69"/>
      <c r="RAD534" s="69"/>
      <c r="RAE534" s="69"/>
      <c r="RAF534" s="69"/>
      <c r="RAG534" s="69"/>
      <c r="RAH534" s="69"/>
      <c r="RAI534" s="69"/>
      <c r="RAJ534" s="69"/>
      <c r="RAK534" s="69"/>
      <c r="RAL534" s="69"/>
      <c r="RAM534" s="69"/>
      <c r="RAN534" s="69"/>
      <c r="RAO534" s="69"/>
      <c r="RAP534" s="69"/>
      <c r="RAQ534" s="69"/>
      <c r="RAR534" s="69"/>
      <c r="RAS534" s="69"/>
      <c r="RAT534" s="69"/>
      <c r="RAU534" s="69"/>
      <c r="RAV534" s="69"/>
      <c r="RAW534" s="69"/>
      <c r="RAX534" s="69"/>
      <c r="RAY534" s="69"/>
      <c r="RAZ534" s="69"/>
      <c r="RBA534" s="69"/>
      <c r="RBB534" s="69"/>
      <c r="RBC534" s="69"/>
      <c r="RBD534" s="69"/>
      <c r="RBE534" s="69"/>
      <c r="RBF534" s="69"/>
      <c r="RBG534" s="69"/>
      <c r="RBH534" s="69"/>
      <c r="RBI534" s="69"/>
      <c r="RBJ534" s="69"/>
      <c r="RBK534" s="69"/>
      <c r="RBL534" s="69"/>
      <c r="RBM534" s="69"/>
      <c r="RBN534" s="69"/>
      <c r="RBO534" s="69"/>
      <c r="RBP534" s="69"/>
      <c r="RBQ534" s="69"/>
      <c r="RBR534" s="69"/>
      <c r="RBS534" s="69"/>
      <c r="RBT534" s="69"/>
      <c r="RBU534" s="69"/>
      <c r="RBV534" s="69"/>
      <c r="RBW534" s="69"/>
      <c r="RBX534" s="69"/>
      <c r="RBY534" s="69"/>
      <c r="RBZ534" s="69"/>
      <c r="RCA534" s="69"/>
      <c r="RCB534" s="69"/>
      <c r="RCC534" s="69"/>
      <c r="RCD534" s="69"/>
      <c r="RCE534" s="69"/>
      <c r="RCF534" s="69"/>
      <c r="RCG534" s="69"/>
      <c r="RCH534" s="69"/>
      <c r="RCI534" s="69"/>
      <c r="RCJ534" s="69"/>
      <c r="RCK534" s="69"/>
      <c r="RCL534" s="69"/>
      <c r="RCM534" s="69"/>
      <c r="RCN534" s="69"/>
      <c r="RCO534" s="69"/>
      <c r="RCP534" s="69"/>
      <c r="RCQ534" s="69"/>
      <c r="RCR534" s="69"/>
      <c r="RCS534" s="69"/>
      <c r="RCT534" s="69"/>
      <c r="RCU534" s="69"/>
      <c r="RCV534" s="69"/>
      <c r="RCW534" s="69"/>
      <c r="RCX534" s="69"/>
      <c r="RCY534" s="69"/>
      <c r="RCZ534" s="69"/>
      <c r="RDA534" s="69"/>
      <c r="RDB534" s="69"/>
      <c r="RDC534" s="69"/>
      <c r="RDD534" s="69"/>
      <c r="RDE534" s="69"/>
      <c r="RDF534" s="69"/>
      <c r="RDG534" s="69"/>
      <c r="RDH534" s="69"/>
      <c r="RDI534" s="69"/>
      <c r="RDJ534" s="69"/>
      <c r="RDK534" s="69"/>
      <c r="RDL534" s="69"/>
      <c r="RDM534" s="69"/>
      <c r="RDN534" s="69"/>
      <c r="RDO534" s="69"/>
      <c r="RDP534" s="69"/>
      <c r="RDQ534" s="69"/>
      <c r="RDR534" s="69"/>
      <c r="RDS534" s="69"/>
      <c r="RDT534" s="69"/>
      <c r="RDU534" s="69"/>
      <c r="RDV534" s="69"/>
      <c r="RDW534" s="69"/>
      <c r="RDX534" s="69"/>
      <c r="RDY534" s="69"/>
      <c r="RDZ534" s="69"/>
      <c r="REA534" s="69"/>
      <c r="REB534" s="69"/>
      <c r="REC534" s="69"/>
      <c r="RED534" s="69"/>
      <c r="REE534" s="69"/>
      <c r="REF534" s="69"/>
      <c r="REG534" s="69"/>
      <c r="REH534" s="69"/>
      <c r="REI534" s="69"/>
      <c r="REJ534" s="69"/>
      <c r="REK534" s="69"/>
      <c r="REL534" s="69"/>
      <c r="REM534" s="69"/>
      <c r="REN534" s="69"/>
      <c r="REO534" s="69"/>
      <c r="REP534" s="69"/>
      <c r="REQ534" s="69"/>
      <c r="RER534" s="69"/>
      <c r="RES534" s="69"/>
      <c r="RET534" s="69"/>
      <c r="REU534" s="69"/>
      <c r="REV534" s="69"/>
      <c r="REW534" s="69"/>
      <c r="REX534" s="69"/>
      <c r="REY534" s="69"/>
      <c r="REZ534" s="69"/>
      <c r="RFA534" s="69"/>
      <c r="RFB534" s="69"/>
      <c r="RFC534" s="69"/>
      <c r="RFD534" s="69"/>
      <c r="RFE534" s="69"/>
      <c r="RFF534" s="69"/>
      <c r="RFG534" s="69"/>
      <c r="RFH534" s="69"/>
      <c r="RFI534" s="69"/>
      <c r="RFJ534" s="69"/>
      <c r="RFK534" s="69"/>
      <c r="RFL534" s="69"/>
      <c r="RFM534" s="69"/>
      <c r="RFN534" s="69"/>
      <c r="RFO534" s="69"/>
      <c r="RFP534" s="69"/>
      <c r="RFQ534" s="69"/>
      <c r="RFR534" s="69"/>
      <c r="RFS534" s="69"/>
      <c r="RFT534" s="69"/>
      <c r="RFU534" s="69"/>
      <c r="RFV534" s="69"/>
      <c r="RFW534" s="69"/>
      <c r="RFX534" s="69"/>
      <c r="RFY534" s="69"/>
      <c r="RFZ534" s="69"/>
      <c r="RGA534" s="69"/>
      <c r="RGB534" s="69"/>
      <c r="RGC534" s="69"/>
      <c r="RGD534" s="69"/>
      <c r="RGE534" s="69"/>
      <c r="RGF534" s="69"/>
      <c r="RGG534" s="69"/>
      <c r="RGH534" s="69"/>
      <c r="RGI534" s="69"/>
      <c r="RGJ534" s="69"/>
      <c r="RGK534" s="69"/>
      <c r="RGL534" s="69"/>
      <c r="RGM534" s="69"/>
      <c r="RGN534" s="69"/>
      <c r="RGO534" s="69"/>
      <c r="RGP534" s="69"/>
      <c r="RGQ534" s="69"/>
      <c r="RGR534" s="69"/>
      <c r="RGS534" s="69"/>
      <c r="RGT534" s="69"/>
      <c r="RGU534" s="69"/>
      <c r="RGV534" s="69"/>
      <c r="RGW534" s="69"/>
      <c r="RGX534" s="69"/>
      <c r="RGY534" s="69"/>
      <c r="RGZ534" s="69"/>
      <c r="RHA534" s="69"/>
      <c r="RHB534" s="69"/>
      <c r="RHC534" s="69"/>
      <c r="RHD534" s="69"/>
      <c r="RHE534" s="69"/>
      <c r="RHF534" s="69"/>
      <c r="RHG534" s="69"/>
      <c r="RHH534" s="69"/>
      <c r="RHI534" s="69"/>
      <c r="RHJ534" s="69"/>
      <c r="RHK534" s="69"/>
      <c r="RHL534" s="69"/>
      <c r="RHM534" s="69"/>
      <c r="RHN534" s="69"/>
      <c r="RHO534" s="69"/>
      <c r="RHP534" s="69"/>
      <c r="RHQ534" s="69"/>
      <c r="RHR534" s="69"/>
      <c r="RHS534" s="69"/>
      <c r="RHT534" s="69"/>
      <c r="RHU534" s="69"/>
      <c r="RHV534" s="69"/>
      <c r="RHW534" s="69"/>
      <c r="RHX534" s="69"/>
      <c r="RHY534" s="69"/>
      <c r="RHZ534" s="69"/>
      <c r="RIA534" s="69"/>
      <c r="RIB534" s="69"/>
      <c r="RIC534" s="69"/>
      <c r="RID534" s="69"/>
      <c r="RIE534" s="69"/>
      <c r="RIF534" s="69"/>
      <c r="RIG534" s="69"/>
      <c r="RIH534" s="69"/>
      <c r="RII534" s="69"/>
      <c r="RIJ534" s="69"/>
      <c r="RIK534" s="69"/>
      <c r="RIL534" s="69"/>
      <c r="RIM534" s="69"/>
      <c r="RIN534" s="69"/>
      <c r="RIO534" s="69"/>
      <c r="RIP534" s="69"/>
      <c r="RIQ534" s="69"/>
      <c r="RIR534" s="69"/>
      <c r="RIS534" s="69"/>
      <c r="RIT534" s="69"/>
      <c r="RIU534" s="69"/>
      <c r="RIV534" s="69"/>
      <c r="RIW534" s="69"/>
      <c r="RIX534" s="69"/>
      <c r="RIY534" s="69"/>
      <c r="RIZ534" s="69"/>
      <c r="RJA534" s="69"/>
      <c r="RJB534" s="69"/>
      <c r="RJC534" s="69"/>
      <c r="RJD534" s="69"/>
      <c r="RJE534" s="69"/>
      <c r="RJF534" s="69"/>
      <c r="RJG534" s="69"/>
      <c r="RJH534" s="69"/>
      <c r="RJI534" s="69"/>
      <c r="RJJ534" s="69"/>
      <c r="RJK534" s="69"/>
      <c r="RJL534" s="69"/>
      <c r="RJM534" s="69"/>
      <c r="RJN534" s="69"/>
      <c r="RJO534" s="69"/>
      <c r="RJP534" s="69"/>
      <c r="RJQ534" s="69"/>
      <c r="RJR534" s="69"/>
      <c r="RJS534" s="69"/>
      <c r="RJT534" s="69"/>
      <c r="RJU534" s="69"/>
      <c r="RJV534" s="69"/>
      <c r="RJW534" s="69"/>
      <c r="RJX534" s="69"/>
      <c r="RJY534" s="69"/>
      <c r="RJZ534" s="69"/>
      <c r="RKA534" s="69"/>
      <c r="RKB534" s="69"/>
      <c r="RKC534" s="69"/>
      <c r="RKD534" s="69"/>
      <c r="RKE534" s="69"/>
      <c r="RKF534" s="69"/>
      <c r="RKG534" s="69"/>
      <c r="RKH534" s="69"/>
      <c r="RKI534" s="69"/>
      <c r="RKJ534" s="69"/>
      <c r="RKK534" s="69"/>
      <c r="RKL534" s="69"/>
      <c r="RKM534" s="69"/>
      <c r="RKN534" s="69"/>
      <c r="RKO534" s="69"/>
      <c r="RKP534" s="69"/>
      <c r="RKQ534" s="69"/>
      <c r="RKR534" s="69"/>
      <c r="RKS534" s="69"/>
      <c r="RKT534" s="69"/>
      <c r="RKU534" s="69"/>
      <c r="RKV534" s="69"/>
      <c r="RKW534" s="69"/>
      <c r="RKX534" s="69"/>
      <c r="RKY534" s="69"/>
      <c r="RKZ534" s="69"/>
      <c r="RLA534" s="69"/>
      <c r="RLB534" s="69"/>
      <c r="RLC534" s="69"/>
      <c r="RLD534" s="69"/>
      <c r="RLE534" s="69"/>
      <c r="RLF534" s="69"/>
      <c r="RLG534" s="69"/>
      <c r="RLH534" s="69"/>
      <c r="RLI534" s="69"/>
      <c r="RLJ534" s="69"/>
      <c r="RLK534" s="69"/>
      <c r="RLL534" s="69"/>
      <c r="RLM534" s="69"/>
      <c r="RLN534" s="69"/>
      <c r="RLO534" s="69"/>
      <c r="RLP534" s="69"/>
      <c r="RLQ534" s="69"/>
      <c r="RLR534" s="69"/>
      <c r="RLS534" s="69"/>
      <c r="RLT534" s="69"/>
      <c r="RLU534" s="69"/>
      <c r="RLV534" s="69"/>
      <c r="RLW534" s="69"/>
      <c r="RLX534" s="69"/>
      <c r="RLY534" s="69"/>
      <c r="RLZ534" s="69"/>
      <c r="RMA534" s="69"/>
      <c r="RMB534" s="69"/>
      <c r="RMC534" s="69"/>
      <c r="RMD534" s="69"/>
      <c r="RME534" s="69"/>
      <c r="RMF534" s="69"/>
      <c r="RMG534" s="69"/>
      <c r="RMH534" s="69"/>
      <c r="RMI534" s="69"/>
      <c r="RMJ534" s="69"/>
      <c r="RMK534" s="69"/>
      <c r="RML534" s="69"/>
      <c r="RMM534" s="69"/>
      <c r="RMN534" s="69"/>
      <c r="RMO534" s="69"/>
      <c r="RMP534" s="69"/>
      <c r="RMQ534" s="69"/>
      <c r="RMR534" s="69"/>
      <c r="RMS534" s="69"/>
      <c r="RMT534" s="69"/>
      <c r="RMU534" s="69"/>
      <c r="RMV534" s="69"/>
      <c r="RMW534" s="69"/>
      <c r="RMX534" s="69"/>
      <c r="RMY534" s="69"/>
      <c r="RMZ534" s="69"/>
      <c r="RNA534" s="69"/>
      <c r="RNB534" s="69"/>
      <c r="RNC534" s="69"/>
      <c r="RND534" s="69"/>
      <c r="RNE534" s="69"/>
      <c r="RNF534" s="69"/>
      <c r="RNG534" s="69"/>
      <c r="RNH534" s="69"/>
      <c r="RNI534" s="69"/>
      <c r="RNJ534" s="69"/>
      <c r="RNK534" s="69"/>
      <c r="RNL534" s="69"/>
      <c r="RNM534" s="69"/>
      <c r="RNN534" s="69"/>
      <c r="RNO534" s="69"/>
      <c r="RNP534" s="69"/>
      <c r="RNQ534" s="69"/>
      <c r="RNR534" s="69"/>
      <c r="RNS534" s="69"/>
      <c r="RNT534" s="69"/>
      <c r="RNU534" s="69"/>
      <c r="RNV534" s="69"/>
      <c r="RNW534" s="69"/>
      <c r="RNX534" s="69"/>
      <c r="RNY534" s="69"/>
      <c r="RNZ534" s="69"/>
      <c r="ROA534" s="69"/>
      <c r="ROB534" s="69"/>
      <c r="ROC534" s="69"/>
      <c r="ROD534" s="69"/>
      <c r="ROE534" s="69"/>
      <c r="ROF534" s="69"/>
      <c r="ROG534" s="69"/>
      <c r="ROH534" s="69"/>
      <c r="ROI534" s="69"/>
      <c r="ROJ534" s="69"/>
      <c r="ROK534" s="69"/>
      <c r="ROL534" s="69"/>
      <c r="ROM534" s="69"/>
      <c r="RON534" s="69"/>
      <c r="ROO534" s="69"/>
      <c r="ROP534" s="69"/>
      <c r="ROQ534" s="69"/>
      <c r="ROR534" s="69"/>
      <c r="ROS534" s="69"/>
      <c r="ROT534" s="69"/>
      <c r="ROU534" s="69"/>
      <c r="ROV534" s="69"/>
      <c r="ROW534" s="69"/>
      <c r="ROX534" s="69"/>
      <c r="ROY534" s="69"/>
      <c r="ROZ534" s="69"/>
      <c r="RPA534" s="69"/>
      <c r="RPB534" s="69"/>
      <c r="RPC534" s="69"/>
      <c r="RPD534" s="69"/>
      <c r="RPE534" s="69"/>
      <c r="RPF534" s="69"/>
      <c r="RPG534" s="69"/>
      <c r="RPH534" s="69"/>
      <c r="RPI534" s="69"/>
      <c r="RPJ534" s="69"/>
      <c r="RPK534" s="69"/>
      <c r="RPL534" s="69"/>
      <c r="RPM534" s="69"/>
      <c r="RPN534" s="69"/>
      <c r="RPO534" s="69"/>
      <c r="RPP534" s="69"/>
      <c r="RPQ534" s="69"/>
      <c r="RPR534" s="69"/>
      <c r="RPS534" s="69"/>
      <c r="RPT534" s="69"/>
      <c r="RPU534" s="69"/>
      <c r="RPV534" s="69"/>
      <c r="RPW534" s="69"/>
      <c r="RPX534" s="69"/>
      <c r="RPY534" s="69"/>
      <c r="RPZ534" s="69"/>
      <c r="RQA534" s="69"/>
      <c r="RQB534" s="69"/>
      <c r="RQC534" s="69"/>
      <c r="RQD534" s="69"/>
      <c r="RQE534" s="69"/>
      <c r="RQF534" s="69"/>
      <c r="RQG534" s="69"/>
      <c r="RQH534" s="69"/>
      <c r="RQI534" s="69"/>
      <c r="RQJ534" s="69"/>
      <c r="RQK534" s="69"/>
      <c r="RQL534" s="69"/>
      <c r="RQM534" s="69"/>
      <c r="RQN534" s="69"/>
      <c r="RQO534" s="69"/>
      <c r="RQP534" s="69"/>
      <c r="RQQ534" s="69"/>
      <c r="RQR534" s="69"/>
      <c r="RQS534" s="69"/>
      <c r="RQT534" s="69"/>
      <c r="RQU534" s="69"/>
      <c r="RQV534" s="69"/>
      <c r="RQW534" s="69"/>
      <c r="RQX534" s="69"/>
      <c r="RQY534" s="69"/>
      <c r="RQZ534" s="69"/>
      <c r="RRA534" s="69"/>
      <c r="RRB534" s="69"/>
      <c r="RRC534" s="69"/>
      <c r="RRD534" s="69"/>
      <c r="RRE534" s="69"/>
      <c r="RRF534" s="69"/>
      <c r="RRG534" s="69"/>
      <c r="RRH534" s="69"/>
      <c r="RRI534" s="69"/>
      <c r="RRJ534" s="69"/>
      <c r="RRK534" s="69"/>
      <c r="RRL534" s="69"/>
      <c r="RRM534" s="69"/>
      <c r="RRN534" s="69"/>
      <c r="RRO534" s="69"/>
      <c r="RRP534" s="69"/>
      <c r="RRQ534" s="69"/>
      <c r="RRR534" s="69"/>
      <c r="RRS534" s="69"/>
      <c r="RRT534" s="69"/>
      <c r="RRU534" s="69"/>
      <c r="RRV534" s="69"/>
      <c r="RRW534" s="69"/>
      <c r="RRX534" s="69"/>
      <c r="RRY534" s="69"/>
      <c r="RRZ534" s="69"/>
      <c r="RSA534" s="69"/>
      <c r="RSB534" s="69"/>
      <c r="RSC534" s="69"/>
      <c r="RSD534" s="69"/>
      <c r="RSE534" s="69"/>
      <c r="RSF534" s="69"/>
      <c r="RSG534" s="69"/>
      <c r="RSH534" s="69"/>
      <c r="RSI534" s="69"/>
      <c r="RSJ534" s="69"/>
      <c r="RSK534" s="69"/>
      <c r="RSL534" s="69"/>
      <c r="RSM534" s="69"/>
      <c r="RSN534" s="69"/>
      <c r="RSO534" s="69"/>
      <c r="RSP534" s="69"/>
      <c r="RSQ534" s="69"/>
      <c r="RSR534" s="69"/>
      <c r="RSS534" s="69"/>
      <c r="RST534" s="69"/>
      <c r="RSU534" s="69"/>
      <c r="RSV534" s="69"/>
      <c r="RSW534" s="69"/>
      <c r="RSX534" s="69"/>
      <c r="RSY534" s="69"/>
      <c r="RSZ534" s="69"/>
      <c r="RTA534" s="69"/>
      <c r="RTB534" s="69"/>
      <c r="RTC534" s="69"/>
      <c r="RTD534" s="69"/>
      <c r="RTE534" s="69"/>
      <c r="RTF534" s="69"/>
      <c r="RTG534" s="69"/>
      <c r="RTH534" s="69"/>
      <c r="RTI534" s="69"/>
      <c r="RTJ534" s="69"/>
      <c r="RTK534" s="69"/>
      <c r="RTL534" s="69"/>
      <c r="RTM534" s="69"/>
      <c r="RTN534" s="69"/>
      <c r="RTO534" s="69"/>
      <c r="RTP534" s="69"/>
      <c r="RTQ534" s="69"/>
      <c r="RTR534" s="69"/>
      <c r="RTS534" s="69"/>
      <c r="RTT534" s="69"/>
      <c r="RTU534" s="69"/>
      <c r="RTV534" s="69"/>
      <c r="RTW534" s="69"/>
      <c r="RTX534" s="69"/>
      <c r="RTY534" s="69"/>
      <c r="RTZ534" s="69"/>
      <c r="RUA534" s="69"/>
      <c r="RUB534" s="69"/>
      <c r="RUC534" s="69"/>
      <c r="RUD534" s="69"/>
      <c r="RUE534" s="69"/>
      <c r="RUF534" s="69"/>
      <c r="RUG534" s="69"/>
      <c r="RUH534" s="69"/>
      <c r="RUI534" s="69"/>
      <c r="RUJ534" s="69"/>
      <c r="RUK534" s="69"/>
      <c r="RUL534" s="69"/>
      <c r="RUM534" s="69"/>
      <c r="RUN534" s="69"/>
      <c r="RUO534" s="69"/>
      <c r="RUP534" s="69"/>
      <c r="RUQ534" s="69"/>
      <c r="RUR534" s="69"/>
      <c r="RUS534" s="69"/>
      <c r="RUT534" s="69"/>
      <c r="RUU534" s="69"/>
      <c r="RUV534" s="69"/>
      <c r="RUW534" s="69"/>
      <c r="RUX534" s="69"/>
      <c r="RUY534" s="69"/>
      <c r="RUZ534" s="69"/>
      <c r="RVA534" s="69"/>
      <c r="RVB534" s="69"/>
      <c r="RVC534" s="69"/>
      <c r="RVD534" s="69"/>
      <c r="RVE534" s="69"/>
      <c r="RVF534" s="69"/>
      <c r="RVG534" s="69"/>
      <c r="RVH534" s="69"/>
      <c r="RVI534" s="69"/>
      <c r="RVJ534" s="69"/>
      <c r="RVK534" s="69"/>
      <c r="RVL534" s="69"/>
      <c r="RVM534" s="69"/>
      <c r="RVN534" s="69"/>
      <c r="RVO534" s="69"/>
      <c r="RVP534" s="69"/>
      <c r="RVQ534" s="69"/>
      <c r="RVR534" s="69"/>
      <c r="RVS534" s="69"/>
      <c r="RVT534" s="69"/>
      <c r="RVU534" s="69"/>
      <c r="RVV534" s="69"/>
      <c r="RVW534" s="69"/>
      <c r="RVX534" s="69"/>
      <c r="RVY534" s="69"/>
      <c r="RVZ534" s="69"/>
      <c r="RWA534" s="69"/>
      <c r="RWB534" s="69"/>
      <c r="RWC534" s="69"/>
      <c r="RWD534" s="69"/>
      <c r="RWE534" s="69"/>
      <c r="RWF534" s="69"/>
      <c r="RWG534" s="69"/>
      <c r="RWH534" s="69"/>
      <c r="RWI534" s="69"/>
      <c r="RWJ534" s="69"/>
      <c r="RWK534" s="69"/>
      <c r="RWL534" s="69"/>
      <c r="RWM534" s="69"/>
      <c r="RWN534" s="69"/>
      <c r="RWO534" s="69"/>
      <c r="RWP534" s="69"/>
      <c r="RWQ534" s="69"/>
      <c r="RWR534" s="69"/>
      <c r="RWS534" s="69"/>
      <c r="RWT534" s="69"/>
      <c r="RWU534" s="69"/>
      <c r="RWV534" s="69"/>
      <c r="RWW534" s="69"/>
      <c r="RWX534" s="69"/>
      <c r="RWY534" s="69"/>
      <c r="RWZ534" s="69"/>
      <c r="RXA534" s="69"/>
      <c r="RXB534" s="69"/>
      <c r="RXC534" s="69"/>
      <c r="RXD534" s="69"/>
      <c r="RXE534" s="69"/>
      <c r="RXF534" s="69"/>
      <c r="RXG534" s="69"/>
      <c r="RXH534" s="69"/>
      <c r="RXI534" s="69"/>
      <c r="RXJ534" s="69"/>
      <c r="RXK534" s="69"/>
      <c r="RXL534" s="69"/>
      <c r="RXM534" s="69"/>
      <c r="RXN534" s="69"/>
      <c r="RXO534" s="69"/>
      <c r="RXP534" s="69"/>
      <c r="RXQ534" s="69"/>
      <c r="RXR534" s="69"/>
      <c r="RXS534" s="69"/>
      <c r="RXT534" s="69"/>
      <c r="RXU534" s="69"/>
      <c r="RXV534" s="69"/>
      <c r="RXW534" s="69"/>
      <c r="RXX534" s="69"/>
      <c r="RXY534" s="69"/>
      <c r="RXZ534" s="69"/>
      <c r="RYA534" s="69"/>
      <c r="RYB534" s="69"/>
      <c r="RYC534" s="69"/>
      <c r="RYD534" s="69"/>
      <c r="RYE534" s="69"/>
      <c r="RYF534" s="69"/>
      <c r="RYG534" s="69"/>
      <c r="RYH534" s="69"/>
      <c r="RYI534" s="69"/>
      <c r="RYJ534" s="69"/>
      <c r="RYK534" s="69"/>
      <c r="RYL534" s="69"/>
      <c r="RYM534" s="69"/>
      <c r="RYN534" s="69"/>
      <c r="RYO534" s="69"/>
      <c r="RYP534" s="69"/>
      <c r="RYQ534" s="69"/>
      <c r="RYR534" s="69"/>
      <c r="RYS534" s="69"/>
      <c r="RYT534" s="69"/>
      <c r="RYU534" s="69"/>
      <c r="RYV534" s="69"/>
      <c r="RYW534" s="69"/>
      <c r="RYX534" s="69"/>
      <c r="RYY534" s="69"/>
      <c r="RYZ534" s="69"/>
      <c r="RZA534" s="69"/>
      <c r="RZB534" s="69"/>
      <c r="RZC534" s="69"/>
      <c r="RZD534" s="69"/>
      <c r="RZE534" s="69"/>
      <c r="RZF534" s="69"/>
      <c r="RZG534" s="69"/>
      <c r="RZH534" s="69"/>
      <c r="RZI534" s="69"/>
      <c r="RZJ534" s="69"/>
      <c r="RZK534" s="69"/>
      <c r="RZL534" s="69"/>
      <c r="RZM534" s="69"/>
      <c r="RZN534" s="69"/>
      <c r="RZO534" s="69"/>
      <c r="RZP534" s="69"/>
      <c r="RZQ534" s="69"/>
      <c r="RZR534" s="69"/>
      <c r="RZS534" s="69"/>
      <c r="RZT534" s="69"/>
      <c r="RZU534" s="69"/>
      <c r="RZV534" s="69"/>
      <c r="RZW534" s="69"/>
      <c r="RZX534" s="69"/>
      <c r="RZY534" s="69"/>
      <c r="RZZ534" s="69"/>
      <c r="SAA534" s="69"/>
      <c r="SAB534" s="69"/>
      <c r="SAC534" s="69"/>
      <c r="SAD534" s="69"/>
      <c r="SAE534" s="69"/>
      <c r="SAF534" s="69"/>
      <c r="SAG534" s="69"/>
      <c r="SAH534" s="69"/>
      <c r="SAI534" s="69"/>
      <c r="SAJ534" s="69"/>
      <c r="SAK534" s="69"/>
      <c r="SAL534" s="69"/>
      <c r="SAM534" s="69"/>
      <c r="SAN534" s="69"/>
      <c r="SAO534" s="69"/>
      <c r="SAP534" s="69"/>
      <c r="SAQ534" s="69"/>
      <c r="SAR534" s="69"/>
      <c r="SAS534" s="69"/>
      <c r="SAT534" s="69"/>
      <c r="SAU534" s="69"/>
      <c r="SAV534" s="69"/>
      <c r="SAW534" s="69"/>
      <c r="SAX534" s="69"/>
      <c r="SAY534" s="69"/>
      <c r="SAZ534" s="69"/>
      <c r="SBA534" s="69"/>
      <c r="SBB534" s="69"/>
      <c r="SBC534" s="69"/>
      <c r="SBD534" s="69"/>
      <c r="SBE534" s="69"/>
      <c r="SBF534" s="69"/>
      <c r="SBG534" s="69"/>
      <c r="SBH534" s="69"/>
      <c r="SBI534" s="69"/>
      <c r="SBJ534" s="69"/>
      <c r="SBK534" s="69"/>
      <c r="SBL534" s="69"/>
      <c r="SBM534" s="69"/>
      <c r="SBN534" s="69"/>
      <c r="SBO534" s="69"/>
      <c r="SBP534" s="69"/>
      <c r="SBQ534" s="69"/>
      <c r="SBR534" s="69"/>
      <c r="SBS534" s="69"/>
      <c r="SBT534" s="69"/>
      <c r="SBU534" s="69"/>
      <c r="SBV534" s="69"/>
      <c r="SBW534" s="69"/>
      <c r="SBX534" s="69"/>
      <c r="SBY534" s="69"/>
      <c r="SBZ534" s="69"/>
      <c r="SCA534" s="69"/>
      <c r="SCB534" s="69"/>
      <c r="SCC534" s="69"/>
      <c r="SCD534" s="69"/>
      <c r="SCE534" s="69"/>
      <c r="SCF534" s="69"/>
      <c r="SCG534" s="69"/>
      <c r="SCH534" s="69"/>
      <c r="SCI534" s="69"/>
      <c r="SCJ534" s="69"/>
      <c r="SCK534" s="69"/>
      <c r="SCL534" s="69"/>
      <c r="SCM534" s="69"/>
      <c r="SCN534" s="69"/>
      <c r="SCO534" s="69"/>
      <c r="SCP534" s="69"/>
      <c r="SCQ534" s="69"/>
      <c r="SCR534" s="69"/>
      <c r="SCS534" s="69"/>
      <c r="SCT534" s="69"/>
      <c r="SCU534" s="69"/>
      <c r="SCV534" s="69"/>
      <c r="SCW534" s="69"/>
      <c r="SCX534" s="69"/>
      <c r="SCY534" s="69"/>
      <c r="SCZ534" s="69"/>
      <c r="SDA534" s="69"/>
      <c r="SDB534" s="69"/>
      <c r="SDC534" s="69"/>
      <c r="SDD534" s="69"/>
      <c r="SDE534" s="69"/>
      <c r="SDF534" s="69"/>
      <c r="SDG534" s="69"/>
      <c r="SDH534" s="69"/>
      <c r="SDI534" s="69"/>
      <c r="SDJ534" s="69"/>
      <c r="SDK534" s="69"/>
      <c r="SDL534" s="69"/>
      <c r="SDM534" s="69"/>
      <c r="SDN534" s="69"/>
      <c r="SDO534" s="69"/>
      <c r="SDP534" s="69"/>
      <c r="SDQ534" s="69"/>
      <c r="SDR534" s="69"/>
      <c r="SDS534" s="69"/>
      <c r="SDT534" s="69"/>
      <c r="SDU534" s="69"/>
      <c r="SDV534" s="69"/>
      <c r="SDW534" s="69"/>
      <c r="SDX534" s="69"/>
      <c r="SDY534" s="69"/>
      <c r="SDZ534" s="69"/>
      <c r="SEA534" s="69"/>
      <c r="SEB534" s="69"/>
      <c r="SEC534" s="69"/>
      <c r="SED534" s="69"/>
      <c r="SEE534" s="69"/>
      <c r="SEF534" s="69"/>
      <c r="SEG534" s="69"/>
      <c r="SEH534" s="69"/>
      <c r="SEI534" s="69"/>
      <c r="SEJ534" s="69"/>
      <c r="SEK534" s="69"/>
      <c r="SEL534" s="69"/>
      <c r="SEM534" s="69"/>
      <c r="SEN534" s="69"/>
      <c r="SEO534" s="69"/>
      <c r="SEP534" s="69"/>
      <c r="SEQ534" s="69"/>
      <c r="SER534" s="69"/>
      <c r="SES534" s="69"/>
      <c r="SET534" s="69"/>
      <c r="SEU534" s="69"/>
      <c r="SEV534" s="69"/>
      <c r="SEW534" s="69"/>
      <c r="SEX534" s="69"/>
      <c r="SEY534" s="69"/>
      <c r="SEZ534" s="69"/>
      <c r="SFA534" s="69"/>
      <c r="SFB534" s="69"/>
      <c r="SFC534" s="69"/>
      <c r="SFD534" s="69"/>
      <c r="SFE534" s="69"/>
      <c r="SFF534" s="69"/>
      <c r="SFG534" s="69"/>
      <c r="SFH534" s="69"/>
      <c r="SFI534" s="69"/>
      <c r="SFJ534" s="69"/>
      <c r="SFK534" s="69"/>
      <c r="SFL534" s="69"/>
      <c r="SFM534" s="69"/>
      <c r="SFN534" s="69"/>
      <c r="SFO534" s="69"/>
      <c r="SFP534" s="69"/>
      <c r="SFQ534" s="69"/>
      <c r="SFR534" s="69"/>
      <c r="SFS534" s="69"/>
      <c r="SFT534" s="69"/>
      <c r="SFU534" s="69"/>
      <c r="SFV534" s="69"/>
      <c r="SFW534" s="69"/>
      <c r="SFX534" s="69"/>
      <c r="SFY534" s="69"/>
      <c r="SFZ534" s="69"/>
      <c r="SGA534" s="69"/>
      <c r="SGB534" s="69"/>
      <c r="SGC534" s="69"/>
      <c r="SGD534" s="69"/>
      <c r="SGE534" s="69"/>
      <c r="SGF534" s="69"/>
      <c r="SGG534" s="69"/>
      <c r="SGH534" s="69"/>
      <c r="SGI534" s="69"/>
      <c r="SGJ534" s="69"/>
      <c r="SGK534" s="69"/>
      <c r="SGL534" s="69"/>
      <c r="SGM534" s="69"/>
      <c r="SGN534" s="69"/>
      <c r="SGO534" s="69"/>
      <c r="SGP534" s="69"/>
      <c r="SGQ534" s="69"/>
      <c r="SGR534" s="69"/>
      <c r="SGS534" s="69"/>
      <c r="SGT534" s="69"/>
      <c r="SGU534" s="69"/>
      <c r="SGV534" s="69"/>
      <c r="SGW534" s="69"/>
      <c r="SGX534" s="69"/>
      <c r="SGY534" s="69"/>
      <c r="SGZ534" s="69"/>
      <c r="SHA534" s="69"/>
      <c r="SHB534" s="69"/>
      <c r="SHC534" s="69"/>
      <c r="SHD534" s="69"/>
      <c r="SHE534" s="69"/>
      <c r="SHF534" s="69"/>
      <c r="SHG534" s="69"/>
      <c r="SHH534" s="69"/>
      <c r="SHI534" s="69"/>
      <c r="SHJ534" s="69"/>
      <c r="SHK534" s="69"/>
      <c r="SHL534" s="69"/>
      <c r="SHM534" s="69"/>
      <c r="SHN534" s="69"/>
      <c r="SHO534" s="69"/>
      <c r="SHP534" s="69"/>
      <c r="SHQ534" s="69"/>
      <c r="SHR534" s="69"/>
      <c r="SHS534" s="69"/>
      <c r="SHT534" s="69"/>
      <c r="SHU534" s="69"/>
      <c r="SHV534" s="69"/>
      <c r="SHW534" s="69"/>
      <c r="SHX534" s="69"/>
      <c r="SHY534" s="69"/>
      <c r="SHZ534" s="69"/>
      <c r="SIA534" s="69"/>
      <c r="SIB534" s="69"/>
      <c r="SIC534" s="69"/>
      <c r="SID534" s="69"/>
      <c r="SIE534" s="69"/>
      <c r="SIF534" s="69"/>
      <c r="SIG534" s="69"/>
      <c r="SIH534" s="69"/>
      <c r="SII534" s="69"/>
      <c r="SIJ534" s="69"/>
      <c r="SIK534" s="69"/>
      <c r="SIL534" s="69"/>
      <c r="SIM534" s="69"/>
      <c r="SIN534" s="69"/>
      <c r="SIO534" s="69"/>
      <c r="SIP534" s="69"/>
      <c r="SIQ534" s="69"/>
      <c r="SIR534" s="69"/>
      <c r="SIS534" s="69"/>
      <c r="SIT534" s="69"/>
      <c r="SIU534" s="69"/>
      <c r="SIV534" s="69"/>
      <c r="SIW534" s="69"/>
      <c r="SIX534" s="69"/>
      <c r="SIY534" s="69"/>
      <c r="SIZ534" s="69"/>
      <c r="SJA534" s="69"/>
      <c r="SJB534" s="69"/>
      <c r="SJC534" s="69"/>
      <c r="SJD534" s="69"/>
      <c r="SJE534" s="69"/>
      <c r="SJF534" s="69"/>
      <c r="SJG534" s="69"/>
      <c r="SJH534" s="69"/>
      <c r="SJI534" s="69"/>
      <c r="SJJ534" s="69"/>
      <c r="SJK534" s="69"/>
      <c r="SJL534" s="69"/>
      <c r="SJM534" s="69"/>
      <c r="SJN534" s="69"/>
      <c r="SJO534" s="69"/>
      <c r="SJP534" s="69"/>
      <c r="SJQ534" s="69"/>
      <c r="SJR534" s="69"/>
      <c r="SJS534" s="69"/>
      <c r="SJT534" s="69"/>
      <c r="SJU534" s="69"/>
      <c r="SJV534" s="69"/>
      <c r="SJW534" s="69"/>
      <c r="SJX534" s="69"/>
      <c r="SJY534" s="69"/>
      <c r="SJZ534" s="69"/>
      <c r="SKA534" s="69"/>
      <c r="SKB534" s="69"/>
      <c r="SKC534" s="69"/>
      <c r="SKD534" s="69"/>
      <c r="SKE534" s="69"/>
      <c r="SKF534" s="69"/>
      <c r="SKG534" s="69"/>
      <c r="SKH534" s="69"/>
      <c r="SKI534" s="69"/>
      <c r="SKJ534" s="69"/>
      <c r="SKK534" s="69"/>
      <c r="SKL534" s="69"/>
      <c r="SKM534" s="69"/>
      <c r="SKN534" s="69"/>
      <c r="SKO534" s="69"/>
      <c r="SKP534" s="69"/>
      <c r="SKQ534" s="69"/>
      <c r="SKR534" s="69"/>
      <c r="SKS534" s="69"/>
      <c r="SKT534" s="69"/>
      <c r="SKU534" s="69"/>
      <c r="SKV534" s="69"/>
      <c r="SKW534" s="69"/>
      <c r="SKX534" s="69"/>
      <c r="SKY534" s="69"/>
      <c r="SKZ534" s="69"/>
      <c r="SLA534" s="69"/>
      <c r="SLB534" s="69"/>
      <c r="SLC534" s="69"/>
      <c r="SLD534" s="69"/>
      <c r="SLE534" s="69"/>
      <c r="SLF534" s="69"/>
      <c r="SLG534" s="69"/>
      <c r="SLH534" s="69"/>
      <c r="SLI534" s="69"/>
      <c r="SLJ534" s="69"/>
      <c r="SLK534" s="69"/>
      <c r="SLL534" s="69"/>
      <c r="SLM534" s="69"/>
      <c r="SLN534" s="69"/>
      <c r="SLO534" s="69"/>
      <c r="SLP534" s="69"/>
      <c r="SLQ534" s="69"/>
      <c r="SLR534" s="69"/>
      <c r="SLS534" s="69"/>
      <c r="SLT534" s="69"/>
      <c r="SLU534" s="69"/>
      <c r="SLV534" s="69"/>
      <c r="SLW534" s="69"/>
      <c r="SLX534" s="69"/>
      <c r="SLY534" s="69"/>
      <c r="SLZ534" s="69"/>
      <c r="SMA534" s="69"/>
      <c r="SMB534" s="69"/>
      <c r="SMC534" s="69"/>
      <c r="SMD534" s="69"/>
      <c r="SME534" s="69"/>
      <c r="SMF534" s="69"/>
      <c r="SMG534" s="69"/>
      <c r="SMH534" s="69"/>
      <c r="SMI534" s="69"/>
      <c r="SMJ534" s="69"/>
      <c r="SMK534" s="69"/>
      <c r="SML534" s="69"/>
      <c r="SMM534" s="69"/>
      <c r="SMN534" s="69"/>
      <c r="SMO534" s="69"/>
      <c r="SMP534" s="69"/>
      <c r="SMQ534" s="69"/>
      <c r="SMR534" s="69"/>
      <c r="SMS534" s="69"/>
      <c r="SMT534" s="69"/>
      <c r="SMU534" s="69"/>
      <c r="SMV534" s="69"/>
      <c r="SMW534" s="69"/>
      <c r="SMX534" s="69"/>
      <c r="SMY534" s="69"/>
      <c r="SMZ534" s="69"/>
      <c r="SNA534" s="69"/>
      <c r="SNB534" s="69"/>
      <c r="SNC534" s="69"/>
      <c r="SND534" s="69"/>
      <c r="SNE534" s="69"/>
      <c r="SNF534" s="69"/>
      <c r="SNG534" s="69"/>
      <c r="SNH534" s="69"/>
      <c r="SNI534" s="69"/>
      <c r="SNJ534" s="69"/>
      <c r="SNK534" s="69"/>
      <c r="SNL534" s="69"/>
      <c r="SNM534" s="69"/>
      <c r="SNN534" s="69"/>
      <c r="SNO534" s="69"/>
      <c r="SNP534" s="69"/>
      <c r="SNQ534" s="69"/>
      <c r="SNR534" s="69"/>
      <c r="SNS534" s="69"/>
      <c r="SNT534" s="69"/>
      <c r="SNU534" s="69"/>
      <c r="SNV534" s="69"/>
      <c r="SNW534" s="69"/>
      <c r="SNX534" s="69"/>
      <c r="SNY534" s="69"/>
      <c r="SNZ534" s="69"/>
      <c r="SOA534" s="69"/>
      <c r="SOB534" s="69"/>
      <c r="SOC534" s="69"/>
      <c r="SOD534" s="69"/>
      <c r="SOE534" s="69"/>
      <c r="SOF534" s="69"/>
      <c r="SOG534" s="69"/>
      <c r="SOH534" s="69"/>
      <c r="SOI534" s="69"/>
      <c r="SOJ534" s="69"/>
      <c r="SOK534" s="69"/>
      <c r="SOL534" s="69"/>
      <c r="SOM534" s="69"/>
      <c r="SON534" s="69"/>
      <c r="SOO534" s="69"/>
      <c r="SOP534" s="69"/>
      <c r="SOQ534" s="69"/>
      <c r="SOR534" s="69"/>
      <c r="SOS534" s="69"/>
      <c r="SOT534" s="69"/>
      <c r="SOU534" s="69"/>
      <c r="SOV534" s="69"/>
      <c r="SOW534" s="69"/>
      <c r="SOX534" s="69"/>
      <c r="SOY534" s="69"/>
      <c r="SOZ534" s="69"/>
      <c r="SPA534" s="69"/>
      <c r="SPB534" s="69"/>
      <c r="SPC534" s="69"/>
      <c r="SPD534" s="69"/>
      <c r="SPE534" s="69"/>
      <c r="SPF534" s="69"/>
      <c r="SPG534" s="69"/>
      <c r="SPH534" s="69"/>
      <c r="SPI534" s="69"/>
      <c r="SPJ534" s="69"/>
      <c r="SPK534" s="69"/>
      <c r="SPL534" s="69"/>
      <c r="SPM534" s="69"/>
      <c r="SPN534" s="69"/>
      <c r="SPO534" s="69"/>
      <c r="SPP534" s="69"/>
      <c r="SPQ534" s="69"/>
      <c r="SPR534" s="69"/>
      <c r="SPS534" s="69"/>
      <c r="SPT534" s="69"/>
      <c r="SPU534" s="69"/>
      <c r="SPV534" s="69"/>
      <c r="SPW534" s="69"/>
      <c r="SPX534" s="69"/>
      <c r="SPY534" s="69"/>
      <c r="SPZ534" s="69"/>
      <c r="SQA534" s="69"/>
      <c r="SQB534" s="69"/>
      <c r="SQC534" s="69"/>
      <c r="SQD534" s="69"/>
      <c r="SQE534" s="69"/>
      <c r="SQF534" s="69"/>
      <c r="SQG534" s="69"/>
      <c r="SQH534" s="69"/>
      <c r="SQI534" s="69"/>
      <c r="SQJ534" s="69"/>
      <c r="SQK534" s="69"/>
      <c r="SQL534" s="69"/>
      <c r="SQM534" s="69"/>
      <c r="SQN534" s="69"/>
      <c r="SQO534" s="69"/>
      <c r="SQP534" s="69"/>
      <c r="SQQ534" s="69"/>
      <c r="SQR534" s="69"/>
      <c r="SQS534" s="69"/>
      <c r="SQT534" s="69"/>
      <c r="SQU534" s="69"/>
      <c r="SQV534" s="69"/>
      <c r="SQW534" s="69"/>
      <c r="SQX534" s="69"/>
      <c r="SQY534" s="69"/>
      <c r="SQZ534" s="69"/>
      <c r="SRA534" s="69"/>
      <c r="SRB534" s="69"/>
      <c r="SRC534" s="69"/>
      <c r="SRD534" s="69"/>
      <c r="SRE534" s="69"/>
      <c r="SRF534" s="69"/>
      <c r="SRG534" s="69"/>
      <c r="SRH534" s="69"/>
      <c r="SRI534" s="69"/>
      <c r="SRJ534" s="69"/>
      <c r="SRK534" s="69"/>
      <c r="SRL534" s="69"/>
      <c r="SRM534" s="69"/>
      <c r="SRN534" s="69"/>
      <c r="SRO534" s="69"/>
      <c r="SRP534" s="69"/>
      <c r="SRQ534" s="69"/>
      <c r="SRR534" s="69"/>
      <c r="SRS534" s="69"/>
      <c r="SRT534" s="69"/>
      <c r="SRU534" s="69"/>
      <c r="SRV534" s="69"/>
      <c r="SRW534" s="69"/>
      <c r="SRX534" s="69"/>
      <c r="SRY534" s="69"/>
      <c r="SRZ534" s="69"/>
      <c r="SSA534" s="69"/>
      <c r="SSB534" s="69"/>
      <c r="SSC534" s="69"/>
      <c r="SSD534" s="69"/>
      <c r="SSE534" s="69"/>
      <c r="SSF534" s="69"/>
      <c r="SSG534" s="69"/>
      <c r="SSH534" s="69"/>
      <c r="SSI534" s="69"/>
      <c r="SSJ534" s="69"/>
      <c r="SSK534" s="69"/>
      <c r="SSL534" s="69"/>
      <c r="SSM534" s="69"/>
      <c r="SSN534" s="69"/>
      <c r="SSO534" s="69"/>
      <c r="SSP534" s="69"/>
      <c r="SSQ534" s="69"/>
      <c r="SSR534" s="69"/>
      <c r="SSS534" s="69"/>
      <c r="SST534" s="69"/>
      <c r="SSU534" s="69"/>
      <c r="SSV534" s="69"/>
      <c r="SSW534" s="69"/>
      <c r="SSX534" s="69"/>
      <c r="SSY534" s="69"/>
      <c r="SSZ534" s="69"/>
      <c r="STA534" s="69"/>
      <c r="STB534" s="69"/>
      <c r="STC534" s="69"/>
      <c r="STD534" s="69"/>
      <c r="STE534" s="69"/>
      <c r="STF534" s="69"/>
      <c r="STG534" s="69"/>
      <c r="STH534" s="69"/>
      <c r="STI534" s="69"/>
      <c r="STJ534" s="69"/>
      <c r="STK534" s="69"/>
      <c r="STL534" s="69"/>
      <c r="STM534" s="69"/>
      <c r="STN534" s="69"/>
      <c r="STO534" s="69"/>
      <c r="STP534" s="69"/>
      <c r="STQ534" s="69"/>
      <c r="STR534" s="69"/>
      <c r="STS534" s="69"/>
      <c r="STT534" s="69"/>
      <c r="STU534" s="69"/>
      <c r="STV534" s="69"/>
      <c r="STW534" s="69"/>
      <c r="STX534" s="69"/>
      <c r="STY534" s="69"/>
      <c r="STZ534" s="69"/>
      <c r="SUA534" s="69"/>
      <c r="SUB534" s="69"/>
      <c r="SUC534" s="69"/>
      <c r="SUD534" s="69"/>
      <c r="SUE534" s="69"/>
      <c r="SUF534" s="69"/>
      <c r="SUG534" s="69"/>
      <c r="SUH534" s="69"/>
      <c r="SUI534" s="69"/>
      <c r="SUJ534" s="69"/>
      <c r="SUK534" s="69"/>
      <c r="SUL534" s="69"/>
      <c r="SUM534" s="69"/>
      <c r="SUN534" s="69"/>
      <c r="SUO534" s="69"/>
      <c r="SUP534" s="69"/>
      <c r="SUQ534" s="69"/>
      <c r="SUR534" s="69"/>
      <c r="SUS534" s="69"/>
      <c r="SUT534" s="69"/>
      <c r="SUU534" s="69"/>
      <c r="SUV534" s="69"/>
      <c r="SUW534" s="69"/>
      <c r="SUX534" s="69"/>
      <c r="SUY534" s="69"/>
      <c r="SUZ534" s="69"/>
      <c r="SVA534" s="69"/>
      <c r="SVB534" s="69"/>
      <c r="SVC534" s="69"/>
      <c r="SVD534" s="69"/>
      <c r="SVE534" s="69"/>
      <c r="SVF534" s="69"/>
      <c r="SVG534" s="69"/>
      <c r="SVH534" s="69"/>
      <c r="SVI534" s="69"/>
      <c r="SVJ534" s="69"/>
      <c r="SVK534" s="69"/>
      <c r="SVL534" s="69"/>
      <c r="SVM534" s="69"/>
      <c r="SVN534" s="69"/>
      <c r="SVO534" s="69"/>
      <c r="SVP534" s="69"/>
      <c r="SVQ534" s="69"/>
      <c r="SVR534" s="69"/>
      <c r="SVS534" s="69"/>
      <c r="SVT534" s="69"/>
      <c r="SVU534" s="69"/>
      <c r="SVV534" s="69"/>
      <c r="SVW534" s="69"/>
      <c r="SVX534" s="69"/>
      <c r="SVY534" s="69"/>
      <c r="SVZ534" s="69"/>
      <c r="SWA534" s="69"/>
      <c r="SWB534" s="69"/>
      <c r="SWC534" s="69"/>
      <c r="SWD534" s="69"/>
      <c r="SWE534" s="69"/>
      <c r="SWF534" s="69"/>
      <c r="SWG534" s="69"/>
      <c r="SWH534" s="69"/>
      <c r="SWI534" s="69"/>
      <c r="SWJ534" s="69"/>
      <c r="SWK534" s="69"/>
      <c r="SWL534" s="69"/>
      <c r="SWM534" s="69"/>
      <c r="SWN534" s="69"/>
      <c r="SWO534" s="69"/>
      <c r="SWP534" s="69"/>
      <c r="SWQ534" s="69"/>
      <c r="SWR534" s="69"/>
      <c r="SWS534" s="69"/>
      <c r="SWT534" s="69"/>
      <c r="SWU534" s="69"/>
      <c r="SWV534" s="69"/>
      <c r="SWW534" s="69"/>
      <c r="SWX534" s="69"/>
      <c r="SWY534" s="69"/>
      <c r="SWZ534" s="69"/>
      <c r="SXA534" s="69"/>
      <c r="SXB534" s="69"/>
      <c r="SXC534" s="69"/>
      <c r="SXD534" s="69"/>
      <c r="SXE534" s="69"/>
      <c r="SXF534" s="69"/>
      <c r="SXG534" s="69"/>
      <c r="SXH534" s="69"/>
      <c r="SXI534" s="69"/>
      <c r="SXJ534" s="69"/>
      <c r="SXK534" s="69"/>
      <c r="SXL534" s="69"/>
      <c r="SXM534" s="69"/>
      <c r="SXN534" s="69"/>
      <c r="SXO534" s="69"/>
      <c r="SXP534" s="69"/>
      <c r="SXQ534" s="69"/>
      <c r="SXR534" s="69"/>
      <c r="SXS534" s="69"/>
      <c r="SXT534" s="69"/>
      <c r="SXU534" s="69"/>
      <c r="SXV534" s="69"/>
      <c r="SXW534" s="69"/>
      <c r="SXX534" s="69"/>
      <c r="SXY534" s="69"/>
      <c r="SXZ534" s="69"/>
      <c r="SYA534" s="69"/>
      <c r="SYB534" s="69"/>
      <c r="SYC534" s="69"/>
      <c r="SYD534" s="69"/>
      <c r="SYE534" s="69"/>
      <c r="SYF534" s="69"/>
      <c r="SYG534" s="69"/>
      <c r="SYH534" s="69"/>
      <c r="SYI534" s="69"/>
      <c r="SYJ534" s="69"/>
      <c r="SYK534" s="69"/>
      <c r="SYL534" s="69"/>
      <c r="SYM534" s="69"/>
      <c r="SYN534" s="69"/>
      <c r="SYO534" s="69"/>
      <c r="SYP534" s="69"/>
      <c r="SYQ534" s="69"/>
      <c r="SYR534" s="69"/>
      <c r="SYS534" s="69"/>
      <c r="SYT534" s="69"/>
      <c r="SYU534" s="69"/>
      <c r="SYV534" s="69"/>
      <c r="SYW534" s="69"/>
      <c r="SYX534" s="69"/>
      <c r="SYY534" s="69"/>
      <c r="SYZ534" s="69"/>
      <c r="SZA534" s="69"/>
      <c r="SZB534" s="69"/>
      <c r="SZC534" s="69"/>
      <c r="SZD534" s="69"/>
      <c r="SZE534" s="69"/>
      <c r="SZF534" s="69"/>
      <c r="SZG534" s="69"/>
      <c r="SZH534" s="69"/>
      <c r="SZI534" s="69"/>
      <c r="SZJ534" s="69"/>
      <c r="SZK534" s="69"/>
      <c r="SZL534" s="69"/>
      <c r="SZM534" s="69"/>
      <c r="SZN534" s="69"/>
      <c r="SZO534" s="69"/>
      <c r="SZP534" s="69"/>
      <c r="SZQ534" s="69"/>
      <c r="SZR534" s="69"/>
      <c r="SZS534" s="69"/>
      <c r="SZT534" s="69"/>
      <c r="SZU534" s="69"/>
      <c r="SZV534" s="69"/>
      <c r="SZW534" s="69"/>
      <c r="SZX534" s="69"/>
      <c r="SZY534" s="69"/>
      <c r="SZZ534" s="69"/>
      <c r="TAA534" s="69"/>
      <c r="TAB534" s="69"/>
      <c r="TAC534" s="69"/>
      <c r="TAD534" s="69"/>
      <c r="TAE534" s="69"/>
      <c r="TAF534" s="69"/>
      <c r="TAG534" s="69"/>
      <c r="TAH534" s="69"/>
      <c r="TAI534" s="69"/>
      <c r="TAJ534" s="69"/>
      <c r="TAK534" s="69"/>
      <c r="TAL534" s="69"/>
      <c r="TAM534" s="69"/>
      <c r="TAN534" s="69"/>
      <c r="TAO534" s="69"/>
      <c r="TAP534" s="69"/>
      <c r="TAQ534" s="69"/>
      <c r="TAR534" s="69"/>
      <c r="TAS534" s="69"/>
      <c r="TAT534" s="69"/>
      <c r="TAU534" s="69"/>
      <c r="TAV534" s="69"/>
      <c r="TAW534" s="69"/>
      <c r="TAX534" s="69"/>
      <c r="TAY534" s="69"/>
      <c r="TAZ534" s="69"/>
      <c r="TBA534" s="69"/>
      <c r="TBB534" s="69"/>
      <c r="TBC534" s="69"/>
      <c r="TBD534" s="69"/>
      <c r="TBE534" s="69"/>
      <c r="TBF534" s="69"/>
      <c r="TBG534" s="69"/>
      <c r="TBH534" s="69"/>
      <c r="TBI534" s="69"/>
      <c r="TBJ534" s="69"/>
      <c r="TBK534" s="69"/>
      <c r="TBL534" s="69"/>
      <c r="TBM534" s="69"/>
      <c r="TBN534" s="69"/>
      <c r="TBO534" s="69"/>
      <c r="TBP534" s="69"/>
      <c r="TBQ534" s="69"/>
      <c r="TBR534" s="69"/>
      <c r="TBS534" s="69"/>
      <c r="TBT534" s="69"/>
      <c r="TBU534" s="69"/>
      <c r="TBV534" s="69"/>
      <c r="TBW534" s="69"/>
      <c r="TBX534" s="69"/>
      <c r="TBY534" s="69"/>
      <c r="TBZ534" s="69"/>
      <c r="TCA534" s="69"/>
      <c r="TCB534" s="69"/>
      <c r="TCC534" s="69"/>
      <c r="TCD534" s="69"/>
      <c r="TCE534" s="69"/>
      <c r="TCF534" s="69"/>
      <c r="TCG534" s="69"/>
      <c r="TCH534" s="69"/>
      <c r="TCI534" s="69"/>
      <c r="TCJ534" s="69"/>
      <c r="TCK534" s="69"/>
      <c r="TCL534" s="69"/>
      <c r="TCM534" s="69"/>
      <c r="TCN534" s="69"/>
      <c r="TCO534" s="69"/>
      <c r="TCP534" s="69"/>
      <c r="TCQ534" s="69"/>
      <c r="TCR534" s="69"/>
      <c r="TCS534" s="69"/>
      <c r="TCT534" s="69"/>
      <c r="TCU534" s="69"/>
      <c r="TCV534" s="69"/>
      <c r="TCW534" s="69"/>
      <c r="TCX534" s="69"/>
      <c r="TCY534" s="69"/>
      <c r="TCZ534" s="69"/>
      <c r="TDA534" s="69"/>
      <c r="TDB534" s="69"/>
      <c r="TDC534" s="69"/>
      <c r="TDD534" s="69"/>
      <c r="TDE534" s="69"/>
      <c r="TDF534" s="69"/>
      <c r="TDG534" s="69"/>
      <c r="TDH534" s="69"/>
      <c r="TDI534" s="69"/>
      <c r="TDJ534" s="69"/>
      <c r="TDK534" s="69"/>
      <c r="TDL534" s="69"/>
      <c r="TDM534" s="69"/>
      <c r="TDN534" s="69"/>
      <c r="TDO534" s="69"/>
      <c r="TDP534" s="69"/>
      <c r="TDQ534" s="69"/>
      <c r="TDR534" s="69"/>
      <c r="TDS534" s="69"/>
      <c r="TDT534" s="69"/>
      <c r="TDU534" s="69"/>
      <c r="TDV534" s="69"/>
      <c r="TDW534" s="69"/>
      <c r="TDX534" s="69"/>
      <c r="TDY534" s="69"/>
      <c r="TDZ534" s="69"/>
      <c r="TEA534" s="69"/>
      <c r="TEB534" s="69"/>
      <c r="TEC534" s="69"/>
      <c r="TED534" s="69"/>
      <c r="TEE534" s="69"/>
      <c r="TEF534" s="69"/>
      <c r="TEG534" s="69"/>
      <c r="TEH534" s="69"/>
      <c r="TEI534" s="69"/>
      <c r="TEJ534" s="69"/>
      <c r="TEK534" s="69"/>
      <c r="TEL534" s="69"/>
      <c r="TEM534" s="69"/>
      <c r="TEN534" s="69"/>
      <c r="TEO534" s="69"/>
      <c r="TEP534" s="69"/>
      <c r="TEQ534" s="69"/>
      <c r="TER534" s="69"/>
      <c r="TES534" s="69"/>
      <c r="TET534" s="69"/>
      <c r="TEU534" s="69"/>
      <c r="TEV534" s="69"/>
      <c r="TEW534" s="69"/>
      <c r="TEX534" s="69"/>
      <c r="TEY534" s="69"/>
      <c r="TEZ534" s="69"/>
      <c r="TFA534" s="69"/>
      <c r="TFB534" s="69"/>
      <c r="TFC534" s="69"/>
      <c r="TFD534" s="69"/>
      <c r="TFE534" s="69"/>
      <c r="TFF534" s="69"/>
      <c r="TFG534" s="69"/>
      <c r="TFH534" s="69"/>
      <c r="TFI534" s="69"/>
      <c r="TFJ534" s="69"/>
      <c r="TFK534" s="69"/>
      <c r="TFL534" s="69"/>
      <c r="TFM534" s="69"/>
      <c r="TFN534" s="69"/>
      <c r="TFO534" s="69"/>
      <c r="TFP534" s="69"/>
      <c r="TFQ534" s="69"/>
      <c r="TFR534" s="69"/>
      <c r="TFS534" s="69"/>
      <c r="TFT534" s="69"/>
      <c r="TFU534" s="69"/>
      <c r="TFV534" s="69"/>
      <c r="TFW534" s="69"/>
      <c r="TFX534" s="69"/>
      <c r="TFY534" s="69"/>
      <c r="TFZ534" s="69"/>
      <c r="TGA534" s="69"/>
      <c r="TGB534" s="69"/>
      <c r="TGC534" s="69"/>
      <c r="TGD534" s="69"/>
      <c r="TGE534" s="69"/>
      <c r="TGF534" s="69"/>
      <c r="TGG534" s="69"/>
      <c r="TGH534" s="69"/>
      <c r="TGI534" s="69"/>
      <c r="TGJ534" s="69"/>
      <c r="TGK534" s="69"/>
      <c r="TGL534" s="69"/>
      <c r="TGM534" s="69"/>
      <c r="TGN534" s="69"/>
      <c r="TGO534" s="69"/>
      <c r="TGP534" s="69"/>
      <c r="TGQ534" s="69"/>
      <c r="TGR534" s="69"/>
      <c r="TGS534" s="69"/>
      <c r="TGT534" s="69"/>
      <c r="TGU534" s="69"/>
      <c r="TGV534" s="69"/>
      <c r="TGW534" s="69"/>
      <c r="TGX534" s="69"/>
      <c r="TGY534" s="69"/>
      <c r="TGZ534" s="69"/>
      <c r="THA534" s="69"/>
      <c r="THB534" s="69"/>
      <c r="THC534" s="69"/>
      <c r="THD534" s="69"/>
      <c r="THE534" s="69"/>
      <c r="THF534" s="69"/>
      <c r="THG534" s="69"/>
      <c r="THH534" s="69"/>
      <c r="THI534" s="69"/>
      <c r="THJ534" s="69"/>
      <c r="THK534" s="69"/>
      <c r="THL534" s="69"/>
      <c r="THM534" s="69"/>
      <c r="THN534" s="69"/>
      <c r="THO534" s="69"/>
      <c r="THP534" s="69"/>
      <c r="THQ534" s="69"/>
      <c r="THR534" s="69"/>
      <c r="THS534" s="69"/>
      <c r="THT534" s="69"/>
      <c r="THU534" s="69"/>
      <c r="THV534" s="69"/>
      <c r="THW534" s="69"/>
      <c r="THX534" s="69"/>
      <c r="THY534" s="69"/>
      <c r="THZ534" s="69"/>
      <c r="TIA534" s="69"/>
      <c r="TIB534" s="69"/>
      <c r="TIC534" s="69"/>
      <c r="TID534" s="69"/>
      <c r="TIE534" s="69"/>
      <c r="TIF534" s="69"/>
      <c r="TIG534" s="69"/>
      <c r="TIH534" s="69"/>
      <c r="TII534" s="69"/>
      <c r="TIJ534" s="69"/>
      <c r="TIK534" s="69"/>
      <c r="TIL534" s="69"/>
      <c r="TIM534" s="69"/>
      <c r="TIN534" s="69"/>
      <c r="TIO534" s="69"/>
      <c r="TIP534" s="69"/>
      <c r="TIQ534" s="69"/>
      <c r="TIR534" s="69"/>
      <c r="TIS534" s="69"/>
      <c r="TIT534" s="69"/>
      <c r="TIU534" s="69"/>
      <c r="TIV534" s="69"/>
      <c r="TIW534" s="69"/>
      <c r="TIX534" s="69"/>
      <c r="TIY534" s="69"/>
      <c r="TIZ534" s="69"/>
      <c r="TJA534" s="69"/>
      <c r="TJB534" s="69"/>
      <c r="TJC534" s="69"/>
      <c r="TJD534" s="69"/>
      <c r="TJE534" s="69"/>
      <c r="TJF534" s="69"/>
      <c r="TJG534" s="69"/>
      <c r="TJH534" s="69"/>
      <c r="TJI534" s="69"/>
      <c r="TJJ534" s="69"/>
      <c r="TJK534" s="69"/>
      <c r="TJL534" s="69"/>
      <c r="TJM534" s="69"/>
      <c r="TJN534" s="69"/>
      <c r="TJO534" s="69"/>
      <c r="TJP534" s="69"/>
      <c r="TJQ534" s="69"/>
      <c r="TJR534" s="69"/>
      <c r="TJS534" s="69"/>
      <c r="TJT534" s="69"/>
      <c r="TJU534" s="69"/>
      <c r="TJV534" s="69"/>
      <c r="TJW534" s="69"/>
      <c r="TJX534" s="69"/>
      <c r="TJY534" s="69"/>
      <c r="TJZ534" s="69"/>
      <c r="TKA534" s="69"/>
      <c r="TKB534" s="69"/>
      <c r="TKC534" s="69"/>
      <c r="TKD534" s="69"/>
      <c r="TKE534" s="69"/>
      <c r="TKF534" s="69"/>
      <c r="TKG534" s="69"/>
      <c r="TKH534" s="69"/>
      <c r="TKI534" s="69"/>
      <c r="TKJ534" s="69"/>
      <c r="TKK534" s="69"/>
      <c r="TKL534" s="69"/>
      <c r="TKM534" s="69"/>
      <c r="TKN534" s="69"/>
      <c r="TKO534" s="69"/>
      <c r="TKP534" s="69"/>
      <c r="TKQ534" s="69"/>
      <c r="TKR534" s="69"/>
      <c r="TKS534" s="69"/>
      <c r="TKT534" s="69"/>
      <c r="TKU534" s="69"/>
      <c r="TKV534" s="69"/>
      <c r="TKW534" s="69"/>
      <c r="TKX534" s="69"/>
      <c r="TKY534" s="69"/>
      <c r="TKZ534" s="69"/>
      <c r="TLA534" s="69"/>
      <c r="TLB534" s="69"/>
      <c r="TLC534" s="69"/>
      <c r="TLD534" s="69"/>
      <c r="TLE534" s="69"/>
      <c r="TLF534" s="69"/>
      <c r="TLG534" s="69"/>
      <c r="TLH534" s="69"/>
      <c r="TLI534" s="69"/>
      <c r="TLJ534" s="69"/>
      <c r="TLK534" s="69"/>
      <c r="TLL534" s="69"/>
      <c r="TLM534" s="69"/>
      <c r="TLN534" s="69"/>
      <c r="TLO534" s="69"/>
      <c r="TLP534" s="69"/>
      <c r="TLQ534" s="69"/>
      <c r="TLR534" s="69"/>
      <c r="TLS534" s="69"/>
      <c r="TLT534" s="69"/>
      <c r="TLU534" s="69"/>
      <c r="TLV534" s="69"/>
      <c r="TLW534" s="69"/>
      <c r="TLX534" s="69"/>
      <c r="TLY534" s="69"/>
      <c r="TLZ534" s="69"/>
      <c r="TMA534" s="69"/>
      <c r="TMB534" s="69"/>
      <c r="TMC534" s="69"/>
      <c r="TMD534" s="69"/>
      <c r="TME534" s="69"/>
      <c r="TMF534" s="69"/>
      <c r="TMG534" s="69"/>
      <c r="TMH534" s="69"/>
      <c r="TMI534" s="69"/>
      <c r="TMJ534" s="69"/>
      <c r="TMK534" s="69"/>
      <c r="TML534" s="69"/>
      <c r="TMM534" s="69"/>
      <c r="TMN534" s="69"/>
      <c r="TMO534" s="69"/>
      <c r="TMP534" s="69"/>
      <c r="TMQ534" s="69"/>
      <c r="TMR534" s="69"/>
      <c r="TMS534" s="69"/>
      <c r="TMT534" s="69"/>
      <c r="TMU534" s="69"/>
      <c r="TMV534" s="69"/>
      <c r="TMW534" s="69"/>
      <c r="TMX534" s="69"/>
      <c r="TMY534" s="69"/>
      <c r="TMZ534" s="69"/>
      <c r="TNA534" s="69"/>
      <c r="TNB534" s="69"/>
      <c r="TNC534" s="69"/>
      <c r="TND534" s="69"/>
      <c r="TNE534" s="69"/>
      <c r="TNF534" s="69"/>
      <c r="TNG534" s="69"/>
      <c r="TNH534" s="69"/>
      <c r="TNI534" s="69"/>
      <c r="TNJ534" s="69"/>
      <c r="TNK534" s="69"/>
      <c r="TNL534" s="69"/>
      <c r="TNM534" s="69"/>
      <c r="TNN534" s="69"/>
      <c r="TNO534" s="69"/>
      <c r="TNP534" s="69"/>
      <c r="TNQ534" s="69"/>
      <c r="TNR534" s="69"/>
      <c r="TNS534" s="69"/>
      <c r="TNT534" s="69"/>
      <c r="TNU534" s="69"/>
      <c r="TNV534" s="69"/>
      <c r="TNW534" s="69"/>
      <c r="TNX534" s="69"/>
      <c r="TNY534" s="69"/>
      <c r="TNZ534" s="69"/>
      <c r="TOA534" s="69"/>
      <c r="TOB534" s="69"/>
      <c r="TOC534" s="69"/>
      <c r="TOD534" s="69"/>
      <c r="TOE534" s="69"/>
      <c r="TOF534" s="69"/>
      <c r="TOG534" s="69"/>
      <c r="TOH534" s="69"/>
      <c r="TOI534" s="69"/>
      <c r="TOJ534" s="69"/>
      <c r="TOK534" s="69"/>
      <c r="TOL534" s="69"/>
      <c r="TOM534" s="69"/>
      <c r="TON534" s="69"/>
      <c r="TOO534" s="69"/>
      <c r="TOP534" s="69"/>
      <c r="TOQ534" s="69"/>
      <c r="TOR534" s="69"/>
      <c r="TOS534" s="69"/>
      <c r="TOT534" s="69"/>
      <c r="TOU534" s="69"/>
      <c r="TOV534" s="69"/>
      <c r="TOW534" s="69"/>
      <c r="TOX534" s="69"/>
      <c r="TOY534" s="69"/>
      <c r="TOZ534" s="69"/>
      <c r="TPA534" s="69"/>
      <c r="TPB534" s="69"/>
      <c r="TPC534" s="69"/>
      <c r="TPD534" s="69"/>
      <c r="TPE534" s="69"/>
      <c r="TPF534" s="69"/>
      <c r="TPG534" s="69"/>
      <c r="TPH534" s="69"/>
      <c r="TPI534" s="69"/>
      <c r="TPJ534" s="69"/>
      <c r="TPK534" s="69"/>
      <c r="TPL534" s="69"/>
      <c r="TPM534" s="69"/>
      <c r="TPN534" s="69"/>
      <c r="TPO534" s="69"/>
      <c r="TPP534" s="69"/>
      <c r="TPQ534" s="69"/>
      <c r="TPR534" s="69"/>
      <c r="TPS534" s="69"/>
      <c r="TPT534" s="69"/>
      <c r="TPU534" s="69"/>
      <c r="TPV534" s="69"/>
      <c r="TPW534" s="69"/>
      <c r="TPX534" s="69"/>
      <c r="TPY534" s="69"/>
      <c r="TPZ534" s="69"/>
      <c r="TQA534" s="69"/>
      <c r="TQB534" s="69"/>
      <c r="TQC534" s="69"/>
      <c r="TQD534" s="69"/>
      <c r="TQE534" s="69"/>
      <c r="TQF534" s="69"/>
      <c r="TQG534" s="69"/>
      <c r="TQH534" s="69"/>
      <c r="TQI534" s="69"/>
      <c r="TQJ534" s="69"/>
      <c r="TQK534" s="69"/>
      <c r="TQL534" s="69"/>
      <c r="TQM534" s="69"/>
      <c r="TQN534" s="69"/>
      <c r="TQO534" s="69"/>
      <c r="TQP534" s="69"/>
      <c r="TQQ534" s="69"/>
      <c r="TQR534" s="69"/>
      <c r="TQS534" s="69"/>
      <c r="TQT534" s="69"/>
      <c r="TQU534" s="69"/>
      <c r="TQV534" s="69"/>
      <c r="TQW534" s="69"/>
      <c r="TQX534" s="69"/>
      <c r="TQY534" s="69"/>
      <c r="TQZ534" s="69"/>
      <c r="TRA534" s="69"/>
      <c r="TRB534" s="69"/>
      <c r="TRC534" s="69"/>
      <c r="TRD534" s="69"/>
      <c r="TRE534" s="69"/>
      <c r="TRF534" s="69"/>
      <c r="TRG534" s="69"/>
      <c r="TRH534" s="69"/>
      <c r="TRI534" s="69"/>
      <c r="TRJ534" s="69"/>
      <c r="TRK534" s="69"/>
      <c r="TRL534" s="69"/>
      <c r="TRM534" s="69"/>
      <c r="TRN534" s="69"/>
      <c r="TRO534" s="69"/>
      <c r="TRP534" s="69"/>
      <c r="TRQ534" s="69"/>
      <c r="TRR534" s="69"/>
      <c r="TRS534" s="69"/>
      <c r="TRT534" s="69"/>
      <c r="TRU534" s="69"/>
      <c r="TRV534" s="69"/>
      <c r="TRW534" s="69"/>
      <c r="TRX534" s="69"/>
      <c r="TRY534" s="69"/>
      <c r="TRZ534" s="69"/>
      <c r="TSA534" s="69"/>
      <c r="TSB534" s="69"/>
      <c r="TSC534" s="69"/>
      <c r="TSD534" s="69"/>
      <c r="TSE534" s="69"/>
      <c r="TSF534" s="69"/>
      <c r="TSG534" s="69"/>
      <c r="TSH534" s="69"/>
      <c r="TSI534" s="69"/>
      <c r="TSJ534" s="69"/>
      <c r="TSK534" s="69"/>
      <c r="TSL534" s="69"/>
      <c r="TSM534" s="69"/>
      <c r="TSN534" s="69"/>
      <c r="TSO534" s="69"/>
      <c r="TSP534" s="69"/>
      <c r="TSQ534" s="69"/>
      <c r="TSR534" s="69"/>
      <c r="TSS534" s="69"/>
      <c r="TST534" s="69"/>
      <c r="TSU534" s="69"/>
      <c r="TSV534" s="69"/>
      <c r="TSW534" s="69"/>
      <c r="TSX534" s="69"/>
      <c r="TSY534" s="69"/>
      <c r="TSZ534" s="69"/>
      <c r="TTA534" s="69"/>
      <c r="TTB534" s="69"/>
      <c r="TTC534" s="69"/>
      <c r="TTD534" s="69"/>
      <c r="TTE534" s="69"/>
      <c r="TTF534" s="69"/>
      <c r="TTG534" s="69"/>
      <c r="TTH534" s="69"/>
      <c r="TTI534" s="69"/>
      <c r="TTJ534" s="69"/>
      <c r="TTK534" s="69"/>
      <c r="TTL534" s="69"/>
      <c r="TTM534" s="69"/>
      <c r="TTN534" s="69"/>
      <c r="TTO534" s="69"/>
      <c r="TTP534" s="69"/>
      <c r="TTQ534" s="69"/>
      <c r="TTR534" s="69"/>
      <c r="TTS534" s="69"/>
      <c r="TTT534" s="69"/>
      <c r="TTU534" s="69"/>
      <c r="TTV534" s="69"/>
      <c r="TTW534" s="69"/>
      <c r="TTX534" s="69"/>
      <c r="TTY534" s="69"/>
      <c r="TTZ534" s="69"/>
      <c r="TUA534" s="69"/>
      <c r="TUB534" s="69"/>
      <c r="TUC534" s="69"/>
      <c r="TUD534" s="69"/>
      <c r="TUE534" s="69"/>
      <c r="TUF534" s="69"/>
      <c r="TUG534" s="69"/>
      <c r="TUH534" s="69"/>
      <c r="TUI534" s="69"/>
      <c r="TUJ534" s="69"/>
      <c r="TUK534" s="69"/>
      <c r="TUL534" s="69"/>
      <c r="TUM534" s="69"/>
      <c r="TUN534" s="69"/>
      <c r="TUO534" s="69"/>
      <c r="TUP534" s="69"/>
      <c r="TUQ534" s="69"/>
      <c r="TUR534" s="69"/>
      <c r="TUS534" s="69"/>
      <c r="TUT534" s="69"/>
      <c r="TUU534" s="69"/>
      <c r="TUV534" s="69"/>
      <c r="TUW534" s="69"/>
      <c r="TUX534" s="69"/>
      <c r="TUY534" s="69"/>
      <c r="TUZ534" s="69"/>
      <c r="TVA534" s="69"/>
      <c r="TVB534" s="69"/>
      <c r="TVC534" s="69"/>
      <c r="TVD534" s="69"/>
      <c r="TVE534" s="69"/>
      <c r="TVF534" s="69"/>
      <c r="TVG534" s="69"/>
      <c r="TVH534" s="69"/>
      <c r="TVI534" s="69"/>
      <c r="TVJ534" s="69"/>
      <c r="TVK534" s="69"/>
      <c r="TVL534" s="69"/>
      <c r="TVM534" s="69"/>
      <c r="TVN534" s="69"/>
      <c r="TVO534" s="69"/>
      <c r="TVP534" s="69"/>
      <c r="TVQ534" s="69"/>
      <c r="TVR534" s="69"/>
      <c r="TVS534" s="69"/>
      <c r="TVT534" s="69"/>
      <c r="TVU534" s="69"/>
      <c r="TVV534" s="69"/>
      <c r="TVW534" s="69"/>
      <c r="TVX534" s="69"/>
      <c r="TVY534" s="69"/>
      <c r="TVZ534" s="69"/>
      <c r="TWA534" s="69"/>
      <c r="TWB534" s="69"/>
      <c r="TWC534" s="69"/>
      <c r="TWD534" s="69"/>
      <c r="TWE534" s="69"/>
      <c r="TWF534" s="69"/>
      <c r="TWG534" s="69"/>
      <c r="TWH534" s="69"/>
      <c r="TWI534" s="69"/>
      <c r="TWJ534" s="69"/>
      <c r="TWK534" s="69"/>
      <c r="TWL534" s="69"/>
      <c r="TWM534" s="69"/>
      <c r="TWN534" s="69"/>
      <c r="TWO534" s="69"/>
      <c r="TWP534" s="69"/>
      <c r="TWQ534" s="69"/>
      <c r="TWR534" s="69"/>
      <c r="TWS534" s="69"/>
      <c r="TWT534" s="69"/>
      <c r="TWU534" s="69"/>
      <c r="TWV534" s="69"/>
      <c r="TWW534" s="69"/>
      <c r="TWX534" s="69"/>
      <c r="TWY534" s="69"/>
      <c r="TWZ534" s="69"/>
      <c r="TXA534" s="69"/>
      <c r="TXB534" s="69"/>
      <c r="TXC534" s="69"/>
      <c r="TXD534" s="69"/>
      <c r="TXE534" s="69"/>
      <c r="TXF534" s="69"/>
      <c r="TXG534" s="69"/>
      <c r="TXH534" s="69"/>
      <c r="TXI534" s="69"/>
      <c r="TXJ534" s="69"/>
      <c r="TXK534" s="69"/>
      <c r="TXL534" s="69"/>
      <c r="TXM534" s="69"/>
      <c r="TXN534" s="69"/>
      <c r="TXO534" s="69"/>
      <c r="TXP534" s="69"/>
      <c r="TXQ534" s="69"/>
      <c r="TXR534" s="69"/>
      <c r="TXS534" s="69"/>
      <c r="TXT534" s="69"/>
      <c r="TXU534" s="69"/>
      <c r="TXV534" s="69"/>
      <c r="TXW534" s="69"/>
      <c r="TXX534" s="69"/>
      <c r="TXY534" s="69"/>
      <c r="TXZ534" s="69"/>
      <c r="TYA534" s="69"/>
      <c r="TYB534" s="69"/>
      <c r="TYC534" s="69"/>
      <c r="TYD534" s="69"/>
      <c r="TYE534" s="69"/>
      <c r="TYF534" s="69"/>
      <c r="TYG534" s="69"/>
      <c r="TYH534" s="69"/>
      <c r="TYI534" s="69"/>
      <c r="TYJ534" s="69"/>
      <c r="TYK534" s="69"/>
      <c r="TYL534" s="69"/>
      <c r="TYM534" s="69"/>
      <c r="TYN534" s="69"/>
      <c r="TYO534" s="69"/>
      <c r="TYP534" s="69"/>
      <c r="TYQ534" s="69"/>
      <c r="TYR534" s="69"/>
      <c r="TYS534" s="69"/>
      <c r="TYT534" s="69"/>
      <c r="TYU534" s="69"/>
      <c r="TYV534" s="69"/>
      <c r="TYW534" s="69"/>
      <c r="TYX534" s="69"/>
      <c r="TYY534" s="69"/>
      <c r="TYZ534" s="69"/>
      <c r="TZA534" s="69"/>
      <c r="TZB534" s="69"/>
      <c r="TZC534" s="69"/>
      <c r="TZD534" s="69"/>
      <c r="TZE534" s="69"/>
      <c r="TZF534" s="69"/>
      <c r="TZG534" s="69"/>
      <c r="TZH534" s="69"/>
      <c r="TZI534" s="69"/>
      <c r="TZJ534" s="69"/>
      <c r="TZK534" s="69"/>
      <c r="TZL534" s="69"/>
      <c r="TZM534" s="69"/>
      <c r="TZN534" s="69"/>
      <c r="TZO534" s="69"/>
      <c r="TZP534" s="69"/>
      <c r="TZQ534" s="69"/>
      <c r="TZR534" s="69"/>
      <c r="TZS534" s="69"/>
      <c r="TZT534" s="69"/>
      <c r="TZU534" s="69"/>
      <c r="TZV534" s="69"/>
      <c r="TZW534" s="69"/>
      <c r="TZX534" s="69"/>
      <c r="TZY534" s="69"/>
      <c r="TZZ534" s="69"/>
      <c r="UAA534" s="69"/>
      <c r="UAB534" s="69"/>
      <c r="UAC534" s="69"/>
      <c r="UAD534" s="69"/>
      <c r="UAE534" s="69"/>
      <c r="UAF534" s="69"/>
      <c r="UAG534" s="69"/>
      <c r="UAH534" s="69"/>
      <c r="UAI534" s="69"/>
      <c r="UAJ534" s="69"/>
      <c r="UAK534" s="69"/>
      <c r="UAL534" s="69"/>
      <c r="UAM534" s="69"/>
      <c r="UAN534" s="69"/>
      <c r="UAO534" s="69"/>
      <c r="UAP534" s="69"/>
      <c r="UAQ534" s="69"/>
      <c r="UAR534" s="69"/>
      <c r="UAS534" s="69"/>
      <c r="UAT534" s="69"/>
      <c r="UAU534" s="69"/>
      <c r="UAV534" s="69"/>
      <c r="UAW534" s="69"/>
      <c r="UAX534" s="69"/>
      <c r="UAY534" s="69"/>
      <c r="UAZ534" s="69"/>
      <c r="UBA534" s="69"/>
      <c r="UBB534" s="69"/>
      <c r="UBC534" s="69"/>
      <c r="UBD534" s="69"/>
      <c r="UBE534" s="69"/>
      <c r="UBF534" s="69"/>
      <c r="UBG534" s="69"/>
      <c r="UBH534" s="69"/>
      <c r="UBI534" s="69"/>
      <c r="UBJ534" s="69"/>
      <c r="UBK534" s="69"/>
      <c r="UBL534" s="69"/>
      <c r="UBM534" s="69"/>
      <c r="UBN534" s="69"/>
      <c r="UBO534" s="69"/>
      <c r="UBP534" s="69"/>
      <c r="UBQ534" s="69"/>
      <c r="UBR534" s="69"/>
      <c r="UBS534" s="69"/>
      <c r="UBT534" s="69"/>
      <c r="UBU534" s="69"/>
      <c r="UBV534" s="69"/>
      <c r="UBW534" s="69"/>
      <c r="UBX534" s="69"/>
      <c r="UBY534" s="69"/>
      <c r="UBZ534" s="69"/>
      <c r="UCA534" s="69"/>
      <c r="UCB534" s="69"/>
      <c r="UCC534" s="69"/>
      <c r="UCD534" s="69"/>
      <c r="UCE534" s="69"/>
      <c r="UCF534" s="69"/>
      <c r="UCG534" s="69"/>
      <c r="UCH534" s="69"/>
      <c r="UCI534" s="69"/>
      <c r="UCJ534" s="69"/>
      <c r="UCK534" s="69"/>
      <c r="UCL534" s="69"/>
      <c r="UCM534" s="69"/>
      <c r="UCN534" s="69"/>
      <c r="UCO534" s="69"/>
      <c r="UCP534" s="69"/>
      <c r="UCQ534" s="69"/>
      <c r="UCR534" s="69"/>
      <c r="UCS534" s="69"/>
      <c r="UCT534" s="69"/>
      <c r="UCU534" s="69"/>
      <c r="UCV534" s="69"/>
      <c r="UCW534" s="69"/>
      <c r="UCX534" s="69"/>
      <c r="UCY534" s="69"/>
      <c r="UCZ534" s="69"/>
      <c r="UDA534" s="69"/>
      <c r="UDB534" s="69"/>
      <c r="UDC534" s="69"/>
      <c r="UDD534" s="69"/>
      <c r="UDE534" s="69"/>
      <c r="UDF534" s="69"/>
      <c r="UDG534" s="69"/>
      <c r="UDH534" s="69"/>
      <c r="UDI534" s="69"/>
      <c r="UDJ534" s="69"/>
      <c r="UDK534" s="69"/>
      <c r="UDL534" s="69"/>
      <c r="UDM534" s="69"/>
      <c r="UDN534" s="69"/>
      <c r="UDO534" s="69"/>
      <c r="UDP534" s="69"/>
      <c r="UDQ534" s="69"/>
      <c r="UDR534" s="69"/>
      <c r="UDS534" s="69"/>
      <c r="UDT534" s="69"/>
      <c r="UDU534" s="69"/>
      <c r="UDV534" s="69"/>
      <c r="UDW534" s="69"/>
      <c r="UDX534" s="69"/>
      <c r="UDY534" s="69"/>
      <c r="UDZ534" s="69"/>
      <c r="UEA534" s="69"/>
      <c r="UEB534" s="69"/>
      <c r="UEC534" s="69"/>
      <c r="UED534" s="69"/>
      <c r="UEE534" s="69"/>
      <c r="UEF534" s="69"/>
      <c r="UEG534" s="69"/>
      <c r="UEH534" s="69"/>
      <c r="UEI534" s="69"/>
      <c r="UEJ534" s="69"/>
      <c r="UEK534" s="69"/>
      <c r="UEL534" s="69"/>
      <c r="UEM534" s="69"/>
      <c r="UEN534" s="69"/>
      <c r="UEO534" s="69"/>
      <c r="UEP534" s="69"/>
      <c r="UEQ534" s="69"/>
      <c r="UER534" s="69"/>
      <c r="UES534" s="69"/>
      <c r="UET534" s="69"/>
      <c r="UEU534" s="69"/>
      <c r="UEV534" s="69"/>
      <c r="UEW534" s="69"/>
      <c r="UEX534" s="69"/>
      <c r="UEY534" s="69"/>
      <c r="UEZ534" s="69"/>
      <c r="UFA534" s="69"/>
      <c r="UFB534" s="69"/>
      <c r="UFC534" s="69"/>
      <c r="UFD534" s="69"/>
      <c r="UFE534" s="69"/>
      <c r="UFF534" s="69"/>
      <c r="UFG534" s="69"/>
      <c r="UFH534" s="69"/>
      <c r="UFI534" s="69"/>
      <c r="UFJ534" s="69"/>
      <c r="UFK534" s="69"/>
      <c r="UFL534" s="69"/>
      <c r="UFM534" s="69"/>
      <c r="UFN534" s="69"/>
      <c r="UFO534" s="69"/>
      <c r="UFP534" s="69"/>
      <c r="UFQ534" s="69"/>
      <c r="UFR534" s="69"/>
      <c r="UFS534" s="69"/>
      <c r="UFT534" s="69"/>
      <c r="UFU534" s="69"/>
      <c r="UFV534" s="69"/>
      <c r="UFW534" s="69"/>
      <c r="UFX534" s="69"/>
      <c r="UFY534" s="69"/>
      <c r="UFZ534" s="69"/>
      <c r="UGA534" s="69"/>
      <c r="UGB534" s="69"/>
      <c r="UGC534" s="69"/>
      <c r="UGD534" s="69"/>
      <c r="UGE534" s="69"/>
      <c r="UGF534" s="69"/>
      <c r="UGG534" s="69"/>
      <c r="UGH534" s="69"/>
      <c r="UGI534" s="69"/>
      <c r="UGJ534" s="69"/>
      <c r="UGK534" s="69"/>
      <c r="UGL534" s="69"/>
      <c r="UGM534" s="69"/>
      <c r="UGN534" s="69"/>
      <c r="UGO534" s="69"/>
      <c r="UGP534" s="69"/>
      <c r="UGQ534" s="69"/>
      <c r="UGR534" s="69"/>
      <c r="UGS534" s="69"/>
      <c r="UGT534" s="69"/>
      <c r="UGU534" s="69"/>
      <c r="UGV534" s="69"/>
      <c r="UGW534" s="69"/>
      <c r="UGX534" s="69"/>
      <c r="UGY534" s="69"/>
      <c r="UGZ534" s="69"/>
      <c r="UHA534" s="69"/>
      <c r="UHB534" s="69"/>
      <c r="UHC534" s="69"/>
      <c r="UHD534" s="69"/>
      <c r="UHE534" s="69"/>
      <c r="UHF534" s="69"/>
      <c r="UHG534" s="69"/>
      <c r="UHH534" s="69"/>
      <c r="UHI534" s="69"/>
      <c r="UHJ534" s="69"/>
      <c r="UHK534" s="69"/>
      <c r="UHL534" s="69"/>
      <c r="UHM534" s="69"/>
      <c r="UHN534" s="69"/>
      <c r="UHO534" s="69"/>
      <c r="UHP534" s="69"/>
      <c r="UHQ534" s="69"/>
      <c r="UHR534" s="69"/>
      <c r="UHS534" s="69"/>
      <c r="UHT534" s="69"/>
      <c r="UHU534" s="69"/>
      <c r="UHV534" s="69"/>
      <c r="UHW534" s="69"/>
      <c r="UHX534" s="69"/>
      <c r="UHY534" s="69"/>
      <c r="UHZ534" s="69"/>
      <c r="UIA534" s="69"/>
      <c r="UIB534" s="69"/>
      <c r="UIC534" s="69"/>
      <c r="UID534" s="69"/>
      <c r="UIE534" s="69"/>
      <c r="UIF534" s="69"/>
      <c r="UIG534" s="69"/>
      <c r="UIH534" s="69"/>
      <c r="UII534" s="69"/>
      <c r="UIJ534" s="69"/>
      <c r="UIK534" s="69"/>
      <c r="UIL534" s="69"/>
      <c r="UIM534" s="69"/>
      <c r="UIN534" s="69"/>
      <c r="UIO534" s="69"/>
      <c r="UIP534" s="69"/>
      <c r="UIQ534" s="69"/>
      <c r="UIR534" s="69"/>
      <c r="UIS534" s="69"/>
      <c r="UIT534" s="69"/>
      <c r="UIU534" s="69"/>
      <c r="UIV534" s="69"/>
      <c r="UIW534" s="69"/>
      <c r="UIX534" s="69"/>
      <c r="UIY534" s="69"/>
      <c r="UIZ534" s="69"/>
      <c r="UJA534" s="69"/>
      <c r="UJB534" s="69"/>
      <c r="UJC534" s="69"/>
      <c r="UJD534" s="69"/>
      <c r="UJE534" s="69"/>
      <c r="UJF534" s="69"/>
      <c r="UJG534" s="69"/>
      <c r="UJH534" s="69"/>
      <c r="UJI534" s="69"/>
      <c r="UJJ534" s="69"/>
      <c r="UJK534" s="69"/>
      <c r="UJL534" s="69"/>
      <c r="UJM534" s="69"/>
      <c r="UJN534" s="69"/>
      <c r="UJO534" s="69"/>
      <c r="UJP534" s="69"/>
      <c r="UJQ534" s="69"/>
      <c r="UJR534" s="69"/>
      <c r="UJS534" s="69"/>
      <c r="UJT534" s="69"/>
      <c r="UJU534" s="69"/>
      <c r="UJV534" s="69"/>
      <c r="UJW534" s="69"/>
      <c r="UJX534" s="69"/>
      <c r="UJY534" s="69"/>
      <c r="UJZ534" s="69"/>
      <c r="UKA534" s="69"/>
      <c r="UKB534" s="69"/>
      <c r="UKC534" s="69"/>
      <c r="UKD534" s="69"/>
      <c r="UKE534" s="69"/>
      <c r="UKF534" s="69"/>
      <c r="UKG534" s="69"/>
      <c r="UKH534" s="69"/>
      <c r="UKI534" s="69"/>
      <c r="UKJ534" s="69"/>
      <c r="UKK534" s="69"/>
      <c r="UKL534" s="69"/>
      <c r="UKM534" s="69"/>
      <c r="UKN534" s="69"/>
      <c r="UKO534" s="69"/>
      <c r="UKP534" s="69"/>
      <c r="UKQ534" s="69"/>
      <c r="UKR534" s="69"/>
      <c r="UKS534" s="69"/>
      <c r="UKT534" s="69"/>
      <c r="UKU534" s="69"/>
      <c r="UKV534" s="69"/>
      <c r="UKW534" s="69"/>
      <c r="UKX534" s="69"/>
      <c r="UKY534" s="69"/>
      <c r="UKZ534" s="69"/>
      <c r="ULA534" s="69"/>
      <c r="ULB534" s="69"/>
      <c r="ULC534" s="69"/>
      <c r="ULD534" s="69"/>
      <c r="ULE534" s="69"/>
      <c r="ULF534" s="69"/>
      <c r="ULG534" s="69"/>
      <c r="ULH534" s="69"/>
      <c r="ULI534" s="69"/>
      <c r="ULJ534" s="69"/>
      <c r="ULK534" s="69"/>
      <c r="ULL534" s="69"/>
      <c r="ULM534" s="69"/>
      <c r="ULN534" s="69"/>
      <c r="ULO534" s="69"/>
      <c r="ULP534" s="69"/>
      <c r="ULQ534" s="69"/>
      <c r="ULR534" s="69"/>
      <c r="ULS534" s="69"/>
      <c r="ULT534" s="69"/>
      <c r="ULU534" s="69"/>
      <c r="ULV534" s="69"/>
      <c r="ULW534" s="69"/>
      <c r="ULX534" s="69"/>
      <c r="ULY534" s="69"/>
      <c r="ULZ534" s="69"/>
      <c r="UMA534" s="69"/>
      <c r="UMB534" s="69"/>
      <c r="UMC534" s="69"/>
      <c r="UMD534" s="69"/>
      <c r="UME534" s="69"/>
      <c r="UMF534" s="69"/>
      <c r="UMG534" s="69"/>
      <c r="UMH534" s="69"/>
      <c r="UMI534" s="69"/>
      <c r="UMJ534" s="69"/>
      <c r="UMK534" s="69"/>
      <c r="UML534" s="69"/>
      <c r="UMM534" s="69"/>
      <c r="UMN534" s="69"/>
      <c r="UMO534" s="69"/>
      <c r="UMP534" s="69"/>
      <c r="UMQ534" s="69"/>
      <c r="UMR534" s="69"/>
      <c r="UMS534" s="69"/>
      <c r="UMT534" s="69"/>
      <c r="UMU534" s="69"/>
      <c r="UMV534" s="69"/>
      <c r="UMW534" s="69"/>
      <c r="UMX534" s="69"/>
      <c r="UMY534" s="69"/>
      <c r="UMZ534" s="69"/>
      <c r="UNA534" s="69"/>
      <c r="UNB534" s="69"/>
      <c r="UNC534" s="69"/>
      <c r="UND534" s="69"/>
      <c r="UNE534" s="69"/>
      <c r="UNF534" s="69"/>
      <c r="UNG534" s="69"/>
      <c r="UNH534" s="69"/>
      <c r="UNI534" s="69"/>
      <c r="UNJ534" s="69"/>
      <c r="UNK534" s="69"/>
      <c r="UNL534" s="69"/>
      <c r="UNM534" s="69"/>
      <c r="UNN534" s="69"/>
      <c r="UNO534" s="69"/>
      <c r="UNP534" s="69"/>
      <c r="UNQ534" s="69"/>
      <c r="UNR534" s="69"/>
      <c r="UNS534" s="69"/>
      <c r="UNT534" s="69"/>
      <c r="UNU534" s="69"/>
      <c r="UNV534" s="69"/>
      <c r="UNW534" s="69"/>
      <c r="UNX534" s="69"/>
      <c r="UNY534" s="69"/>
      <c r="UNZ534" s="69"/>
      <c r="UOA534" s="69"/>
      <c r="UOB534" s="69"/>
      <c r="UOC534" s="69"/>
      <c r="UOD534" s="69"/>
      <c r="UOE534" s="69"/>
      <c r="UOF534" s="69"/>
      <c r="UOG534" s="69"/>
      <c r="UOH534" s="69"/>
      <c r="UOI534" s="69"/>
      <c r="UOJ534" s="69"/>
      <c r="UOK534" s="69"/>
      <c r="UOL534" s="69"/>
      <c r="UOM534" s="69"/>
      <c r="UON534" s="69"/>
      <c r="UOO534" s="69"/>
      <c r="UOP534" s="69"/>
      <c r="UOQ534" s="69"/>
      <c r="UOR534" s="69"/>
      <c r="UOS534" s="69"/>
      <c r="UOT534" s="69"/>
      <c r="UOU534" s="69"/>
      <c r="UOV534" s="69"/>
      <c r="UOW534" s="69"/>
      <c r="UOX534" s="69"/>
      <c r="UOY534" s="69"/>
      <c r="UOZ534" s="69"/>
      <c r="UPA534" s="69"/>
      <c r="UPB534" s="69"/>
      <c r="UPC534" s="69"/>
      <c r="UPD534" s="69"/>
      <c r="UPE534" s="69"/>
      <c r="UPF534" s="69"/>
      <c r="UPG534" s="69"/>
      <c r="UPH534" s="69"/>
      <c r="UPI534" s="69"/>
      <c r="UPJ534" s="69"/>
      <c r="UPK534" s="69"/>
      <c r="UPL534" s="69"/>
      <c r="UPM534" s="69"/>
      <c r="UPN534" s="69"/>
      <c r="UPO534" s="69"/>
      <c r="UPP534" s="69"/>
      <c r="UPQ534" s="69"/>
      <c r="UPR534" s="69"/>
      <c r="UPS534" s="69"/>
      <c r="UPT534" s="69"/>
      <c r="UPU534" s="69"/>
      <c r="UPV534" s="69"/>
      <c r="UPW534" s="69"/>
      <c r="UPX534" s="69"/>
      <c r="UPY534" s="69"/>
      <c r="UPZ534" s="69"/>
      <c r="UQA534" s="69"/>
      <c r="UQB534" s="69"/>
      <c r="UQC534" s="69"/>
      <c r="UQD534" s="69"/>
      <c r="UQE534" s="69"/>
      <c r="UQF534" s="69"/>
      <c r="UQG534" s="69"/>
      <c r="UQH534" s="69"/>
      <c r="UQI534" s="69"/>
      <c r="UQJ534" s="69"/>
      <c r="UQK534" s="69"/>
      <c r="UQL534" s="69"/>
      <c r="UQM534" s="69"/>
      <c r="UQN534" s="69"/>
      <c r="UQO534" s="69"/>
      <c r="UQP534" s="69"/>
      <c r="UQQ534" s="69"/>
      <c r="UQR534" s="69"/>
      <c r="UQS534" s="69"/>
      <c r="UQT534" s="69"/>
      <c r="UQU534" s="69"/>
      <c r="UQV534" s="69"/>
      <c r="UQW534" s="69"/>
      <c r="UQX534" s="69"/>
      <c r="UQY534" s="69"/>
      <c r="UQZ534" s="69"/>
      <c r="URA534" s="69"/>
      <c r="URB534" s="69"/>
      <c r="URC534" s="69"/>
      <c r="URD534" s="69"/>
      <c r="URE534" s="69"/>
      <c r="URF534" s="69"/>
      <c r="URG534" s="69"/>
      <c r="URH534" s="69"/>
      <c r="URI534" s="69"/>
      <c r="URJ534" s="69"/>
      <c r="URK534" s="69"/>
      <c r="URL534" s="69"/>
      <c r="URM534" s="69"/>
      <c r="URN534" s="69"/>
      <c r="URO534" s="69"/>
      <c r="URP534" s="69"/>
      <c r="URQ534" s="69"/>
      <c r="URR534" s="69"/>
      <c r="URS534" s="69"/>
      <c r="URT534" s="69"/>
      <c r="URU534" s="69"/>
      <c r="URV534" s="69"/>
      <c r="URW534" s="69"/>
      <c r="URX534" s="69"/>
      <c r="URY534" s="69"/>
      <c r="URZ534" s="69"/>
      <c r="USA534" s="69"/>
      <c r="USB534" s="69"/>
      <c r="USC534" s="69"/>
      <c r="USD534" s="69"/>
      <c r="USE534" s="69"/>
      <c r="USF534" s="69"/>
      <c r="USG534" s="69"/>
      <c r="USH534" s="69"/>
      <c r="USI534" s="69"/>
      <c r="USJ534" s="69"/>
      <c r="USK534" s="69"/>
      <c r="USL534" s="69"/>
      <c r="USM534" s="69"/>
      <c r="USN534" s="69"/>
      <c r="USO534" s="69"/>
      <c r="USP534" s="69"/>
      <c r="USQ534" s="69"/>
      <c r="USR534" s="69"/>
      <c r="USS534" s="69"/>
      <c r="UST534" s="69"/>
      <c r="USU534" s="69"/>
      <c r="USV534" s="69"/>
      <c r="USW534" s="69"/>
      <c r="USX534" s="69"/>
      <c r="USY534" s="69"/>
      <c r="USZ534" s="69"/>
      <c r="UTA534" s="69"/>
      <c r="UTB534" s="69"/>
      <c r="UTC534" s="69"/>
      <c r="UTD534" s="69"/>
      <c r="UTE534" s="69"/>
      <c r="UTF534" s="69"/>
      <c r="UTG534" s="69"/>
      <c r="UTH534" s="69"/>
      <c r="UTI534" s="69"/>
      <c r="UTJ534" s="69"/>
      <c r="UTK534" s="69"/>
      <c r="UTL534" s="69"/>
      <c r="UTM534" s="69"/>
      <c r="UTN534" s="69"/>
      <c r="UTO534" s="69"/>
      <c r="UTP534" s="69"/>
      <c r="UTQ534" s="69"/>
      <c r="UTR534" s="69"/>
      <c r="UTS534" s="69"/>
      <c r="UTT534" s="69"/>
      <c r="UTU534" s="69"/>
      <c r="UTV534" s="69"/>
      <c r="UTW534" s="69"/>
      <c r="UTX534" s="69"/>
      <c r="UTY534" s="69"/>
      <c r="UTZ534" s="69"/>
      <c r="UUA534" s="69"/>
      <c r="UUB534" s="69"/>
      <c r="UUC534" s="69"/>
      <c r="UUD534" s="69"/>
      <c r="UUE534" s="69"/>
      <c r="UUF534" s="69"/>
      <c r="UUG534" s="69"/>
      <c r="UUH534" s="69"/>
      <c r="UUI534" s="69"/>
      <c r="UUJ534" s="69"/>
      <c r="UUK534" s="69"/>
      <c r="UUL534" s="69"/>
      <c r="UUM534" s="69"/>
      <c r="UUN534" s="69"/>
      <c r="UUO534" s="69"/>
      <c r="UUP534" s="69"/>
      <c r="UUQ534" s="69"/>
      <c r="UUR534" s="69"/>
      <c r="UUS534" s="69"/>
      <c r="UUT534" s="69"/>
      <c r="UUU534" s="69"/>
      <c r="UUV534" s="69"/>
      <c r="UUW534" s="69"/>
      <c r="UUX534" s="69"/>
      <c r="UUY534" s="69"/>
      <c r="UUZ534" s="69"/>
      <c r="UVA534" s="69"/>
      <c r="UVB534" s="69"/>
      <c r="UVC534" s="69"/>
      <c r="UVD534" s="69"/>
      <c r="UVE534" s="69"/>
      <c r="UVF534" s="69"/>
      <c r="UVG534" s="69"/>
      <c r="UVH534" s="69"/>
      <c r="UVI534" s="69"/>
      <c r="UVJ534" s="69"/>
      <c r="UVK534" s="69"/>
      <c r="UVL534" s="69"/>
      <c r="UVM534" s="69"/>
      <c r="UVN534" s="69"/>
      <c r="UVO534" s="69"/>
      <c r="UVP534" s="69"/>
      <c r="UVQ534" s="69"/>
      <c r="UVR534" s="69"/>
      <c r="UVS534" s="69"/>
      <c r="UVT534" s="69"/>
      <c r="UVU534" s="69"/>
      <c r="UVV534" s="69"/>
      <c r="UVW534" s="69"/>
      <c r="UVX534" s="69"/>
      <c r="UVY534" s="69"/>
      <c r="UVZ534" s="69"/>
      <c r="UWA534" s="69"/>
      <c r="UWB534" s="69"/>
      <c r="UWC534" s="69"/>
      <c r="UWD534" s="69"/>
      <c r="UWE534" s="69"/>
      <c r="UWF534" s="69"/>
      <c r="UWG534" s="69"/>
      <c r="UWH534" s="69"/>
      <c r="UWI534" s="69"/>
      <c r="UWJ534" s="69"/>
      <c r="UWK534" s="69"/>
      <c r="UWL534" s="69"/>
      <c r="UWM534" s="69"/>
      <c r="UWN534" s="69"/>
      <c r="UWO534" s="69"/>
      <c r="UWP534" s="69"/>
      <c r="UWQ534" s="69"/>
      <c r="UWR534" s="69"/>
      <c r="UWS534" s="69"/>
      <c r="UWT534" s="69"/>
      <c r="UWU534" s="69"/>
      <c r="UWV534" s="69"/>
      <c r="UWW534" s="69"/>
      <c r="UWX534" s="69"/>
      <c r="UWY534" s="69"/>
      <c r="UWZ534" s="69"/>
      <c r="UXA534" s="69"/>
      <c r="UXB534" s="69"/>
      <c r="UXC534" s="69"/>
      <c r="UXD534" s="69"/>
      <c r="UXE534" s="69"/>
      <c r="UXF534" s="69"/>
      <c r="UXG534" s="69"/>
      <c r="UXH534" s="69"/>
      <c r="UXI534" s="69"/>
      <c r="UXJ534" s="69"/>
      <c r="UXK534" s="69"/>
      <c r="UXL534" s="69"/>
      <c r="UXM534" s="69"/>
      <c r="UXN534" s="69"/>
      <c r="UXO534" s="69"/>
      <c r="UXP534" s="69"/>
      <c r="UXQ534" s="69"/>
      <c r="UXR534" s="69"/>
      <c r="UXS534" s="69"/>
      <c r="UXT534" s="69"/>
      <c r="UXU534" s="69"/>
      <c r="UXV534" s="69"/>
      <c r="UXW534" s="69"/>
      <c r="UXX534" s="69"/>
      <c r="UXY534" s="69"/>
      <c r="UXZ534" s="69"/>
      <c r="UYA534" s="69"/>
      <c r="UYB534" s="69"/>
      <c r="UYC534" s="69"/>
      <c r="UYD534" s="69"/>
      <c r="UYE534" s="69"/>
      <c r="UYF534" s="69"/>
      <c r="UYG534" s="69"/>
      <c r="UYH534" s="69"/>
      <c r="UYI534" s="69"/>
      <c r="UYJ534" s="69"/>
      <c r="UYK534" s="69"/>
      <c r="UYL534" s="69"/>
      <c r="UYM534" s="69"/>
      <c r="UYN534" s="69"/>
      <c r="UYO534" s="69"/>
      <c r="UYP534" s="69"/>
      <c r="UYQ534" s="69"/>
      <c r="UYR534" s="69"/>
      <c r="UYS534" s="69"/>
      <c r="UYT534" s="69"/>
      <c r="UYU534" s="69"/>
      <c r="UYV534" s="69"/>
      <c r="UYW534" s="69"/>
      <c r="UYX534" s="69"/>
      <c r="UYY534" s="69"/>
      <c r="UYZ534" s="69"/>
      <c r="UZA534" s="69"/>
      <c r="UZB534" s="69"/>
      <c r="UZC534" s="69"/>
      <c r="UZD534" s="69"/>
      <c r="UZE534" s="69"/>
      <c r="UZF534" s="69"/>
      <c r="UZG534" s="69"/>
      <c r="UZH534" s="69"/>
      <c r="UZI534" s="69"/>
      <c r="UZJ534" s="69"/>
      <c r="UZK534" s="69"/>
      <c r="UZL534" s="69"/>
      <c r="UZM534" s="69"/>
      <c r="UZN534" s="69"/>
      <c r="UZO534" s="69"/>
      <c r="UZP534" s="69"/>
      <c r="UZQ534" s="69"/>
      <c r="UZR534" s="69"/>
      <c r="UZS534" s="69"/>
      <c r="UZT534" s="69"/>
      <c r="UZU534" s="69"/>
      <c r="UZV534" s="69"/>
      <c r="UZW534" s="69"/>
      <c r="UZX534" s="69"/>
      <c r="UZY534" s="69"/>
      <c r="UZZ534" s="69"/>
      <c r="VAA534" s="69"/>
      <c r="VAB534" s="69"/>
      <c r="VAC534" s="69"/>
      <c r="VAD534" s="69"/>
      <c r="VAE534" s="69"/>
      <c r="VAF534" s="69"/>
      <c r="VAG534" s="69"/>
      <c r="VAH534" s="69"/>
      <c r="VAI534" s="69"/>
      <c r="VAJ534" s="69"/>
      <c r="VAK534" s="69"/>
      <c r="VAL534" s="69"/>
      <c r="VAM534" s="69"/>
      <c r="VAN534" s="69"/>
      <c r="VAO534" s="69"/>
      <c r="VAP534" s="69"/>
      <c r="VAQ534" s="69"/>
      <c r="VAR534" s="69"/>
      <c r="VAS534" s="69"/>
      <c r="VAT534" s="69"/>
      <c r="VAU534" s="69"/>
      <c r="VAV534" s="69"/>
      <c r="VAW534" s="69"/>
      <c r="VAX534" s="69"/>
      <c r="VAY534" s="69"/>
      <c r="VAZ534" s="69"/>
      <c r="VBA534" s="69"/>
      <c r="VBB534" s="69"/>
      <c r="VBC534" s="69"/>
      <c r="VBD534" s="69"/>
      <c r="VBE534" s="69"/>
      <c r="VBF534" s="69"/>
      <c r="VBG534" s="69"/>
      <c r="VBH534" s="69"/>
      <c r="VBI534" s="69"/>
      <c r="VBJ534" s="69"/>
      <c r="VBK534" s="69"/>
      <c r="VBL534" s="69"/>
      <c r="VBM534" s="69"/>
      <c r="VBN534" s="69"/>
      <c r="VBO534" s="69"/>
      <c r="VBP534" s="69"/>
      <c r="VBQ534" s="69"/>
      <c r="VBR534" s="69"/>
      <c r="VBS534" s="69"/>
      <c r="VBT534" s="69"/>
      <c r="VBU534" s="69"/>
      <c r="VBV534" s="69"/>
      <c r="VBW534" s="69"/>
      <c r="VBX534" s="69"/>
      <c r="VBY534" s="69"/>
      <c r="VBZ534" s="69"/>
      <c r="VCA534" s="69"/>
      <c r="VCB534" s="69"/>
      <c r="VCC534" s="69"/>
      <c r="VCD534" s="69"/>
      <c r="VCE534" s="69"/>
      <c r="VCF534" s="69"/>
      <c r="VCG534" s="69"/>
      <c r="VCH534" s="69"/>
      <c r="VCI534" s="69"/>
      <c r="VCJ534" s="69"/>
      <c r="VCK534" s="69"/>
      <c r="VCL534" s="69"/>
      <c r="VCM534" s="69"/>
      <c r="VCN534" s="69"/>
      <c r="VCO534" s="69"/>
      <c r="VCP534" s="69"/>
      <c r="VCQ534" s="69"/>
      <c r="VCR534" s="69"/>
      <c r="VCS534" s="69"/>
      <c r="VCT534" s="69"/>
      <c r="VCU534" s="69"/>
      <c r="VCV534" s="69"/>
      <c r="VCW534" s="69"/>
      <c r="VCX534" s="69"/>
      <c r="VCY534" s="69"/>
      <c r="VCZ534" s="69"/>
      <c r="VDA534" s="69"/>
      <c r="VDB534" s="69"/>
      <c r="VDC534" s="69"/>
      <c r="VDD534" s="69"/>
      <c r="VDE534" s="69"/>
      <c r="VDF534" s="69"/>
      <c r="VDG534" s="69"/>
      <c r="VDH534" s="69"/>
      <c r="VDI534" s="69"/>
      <c r="VDJ534" s="69"/>
      <c r="VDK534" s="69"/>
      <c r="VDL534" s="69"/>
      <c r="VDM534" s="69"/>
      <c r="VDN534" s="69"/>
      <c r="VDO534" s="69"/>
      <c r="VDP534" s="69"/>
      <c r="VDQ534" s="69"/>
      <c r="VDR534" s="69"/>
      <c r="VDS534" s="69"/>
      <c r="VDT534" s="69"/>
      <c r="VDU534" s="69"/>
      <c r="VDV534" s="69"/>
      <c r="VDW534" s="69"/>
      <c r="VDX534" s="69"/>
      <c r="VDY534" s="69"/>
      <c r="VDZ534" s="69"/>
      <c r="VEA534" s="69"/>
      <c r="VEB534" s="69"/>
      <c r="VEC534" s="69"/>
      <c r="VED534" s="69"/>
      <c r="VEE534" s="69"/>
      <c r="VEF534" s="69"/>
      <c r="VEG534" s="69"/>
      <c r="VEH534" s="69"/>
      <c r="VEI534" s="69"/>
      <c r="VEJ534" s="69"/>
      <c r="VEK534" s="69"/>
      <c r="VEL534" s="69"/>
      <c r="VEM534" s="69"/>
      <c r="VEN534" s="69"/>
      <c r="VEO534" s="69"/>
      <c r="VEP534" s="69"/>
      <c r="VEQ534" s="69"/>
      <c r="VER534" s="69"/>
      <c r="VES534" s="69"/>
      <c r="VET534" s="69"/>
      <c r="VEU534" s="69"/>
      <c r="VEV534" s="69"/>
      <c r="VEW534" s="69"/>
      <c r="VEX534" s="69"/>
      <c r="VEY534" s="69"/>
      <c r="VEZ534" s="69"/>
      <c r="VFA534" s="69"/>
      <c r="VFB534" s="69"/>
      <c r="VFC534" s="69"/>
      <c r="VFD534" s="69"/>
      <c r="VFE534" s="69"/>
      <c r="VFF534" s="69"/>
      <c r="VFG534" s="69"/>
      <c r="VFH534" s="69"/>
      <c r="VFI534" s="69"/>
      <c r="VFJ534" s="69"/>
      <c r="VFK534" s="69"/>
      <c r="VFL534" s="69"/>
      <c r="VFM534" s="69"/>
      <c r="VFN534" s="69"/>
      <c r="VFO534" s="69"/>
      <c r="VFP534" s="69"/>
      <c r="VFQ534" s="69"/>
      <c r="VFR534" s="69"/>
      <c r="VFS534" s="69"/>
      <c r="VFT534" s="69"/>
      <c r="VFU534" s="69"/>
      <c r="VFV534" s="69"/>
      <c r="VFW534" s="69"/>
      <c r="VFX534" s="69"/>
      <c r="VFY534" s="69"/>
      <c r="VFZ534" s="69"/>
      <c r="VGA534" s="69"/>
      <c r="VGB534" s="69"/>
      <c r="VGC534" s="69"/>
      <c r="VGD534" s="69"/>
      <c r="VGE534" s="69"/>
      <c r="VGF534" s="69"/>
      <c r="VGG534" s="69"/>
      <c r="VGH534" s="69"/>
      <c r="VGI534" s="69"/>
      <c r="VGJ534" s="69"/>
      <c r="VGK534" s="69"/>
      <c r="VGL534" s="69"/>
      <c r="VGM534" s="69"/>
      <c r="VGN534" s="69"/>
      <c r="VGO534" s="69"/>
      <c r="VGP534" s="69"/>
      <c r="VGQ534" s="69"/>
      <c r="VGR534" s="69"/>
      <c r="VGS534" s="69"/>
      <c r="VGT534" s="69"/>
      <c r="VGU534" s="69"/>
      <c r="VGV534" s="69"/>
      <c r="VGW534" s="69"/>
      <c r="VGX534" s="69"/>
      <c r="VGY534" s="69"/>
      <c r="VGZ534" s="69"/>
      <c r="VHA534" s="69"/>
      <c r="VHB534" s="69"/>
      <c r="VHC534" s="69"/>
      <c r="VHD534" s="69"/>
      <c r="VHE534" s="69"/>
      <c r="VHF534" s="69"/>
      <c r="VHG534" s="69"/>
      <c r="VHH534" s="69"/>
      <c r="VHI534" s="69"/>
      <c r="VHJ534" s="69"/>
      <c r="VHK534" s="69"/>
      <c r="VHL534" s="69"/>
      <c r="VHM534" s="69"/>
      <c r="VHN534" s="69"/>
      <c r="VHO534" s="69"/>
      <c r="VHP534" s="69"/>
      <c r="VHQ534" s="69"/>
      <c r="VHR534" s="69"/>
      <c r="VHS534" s="69"/>
      <c r="VHT534" s="69"/>
      <c r="VHU534" s="69"/>
      <c r="VHV534" s="69"/>
      <c r="VHW534" s="69"/>
      <c r="VHX534" s="69"/>
      <c r="VHY534" s="69"/>
      <c r="VHZ534" s="69"/>
      <c r="VIA534" s="69"/>
      <c r="VIB534" s="69"/>
      <c r="VIC534" s="69"/>
      <c r="VID534" s="69"/>
      <c r="VIE534" s="69"/>
      <c r="VIF534" s="69"/>
      <c r="VIG534" s="69"/>
      <c r="VIH534" s="69"/>
      <c r="VII534" s="69"/>
      <c r="VIJ534" s="69"/>
      <c r="VIK534" s="69"/>
      <c r="VIL534" s="69"/>
      <c r="VIM534" s="69"/>
      <c r="VIN534" s="69"/>
      <c r="VIO534" s="69"/>
      <c r="VIP534" s="69"/>
      <c r="VIQ534" s="69"/>
      <c r="VIR534" s="69"/>
      <c r="VIS534" s="69"/>
      <c r="VIT534" s="69"/>
      <c r="VIU534" s="69"/>
      <c r="VIV534" s="69"/>
      <c r="VIW534" s="69"/>
      <c r="VIX534" s="69"/>
      <c r="VIY534" s="69"/>
      <c r="VIZ534" s="69"/>
      <c r="VJA534" s="69"/>
      <c r="VJB534" s="69"/>
      <c r="VJC534" s="69"/>
      <c r="VJD534" s="69"/>
      <c r="VJE534" s="69"/>
      <c r="VJF534" s="69"/>
      <c r="VJG534" s="69"/>
      <c r="VJH534" s="69"/>
      <c r="VJI534" s="69"/>
      <c r="VJJ534" s="69"/>
      <c r="VJK534" s="69"/>
      <c r="VJL534" s="69"/>
      <c r="VJM534" s="69"/>
      <c r="VJN534" s="69"/>
      <c r="VJO534" s="69"/>
      <c r="VJP534" s="69"/>
      <c r="VJQ534" s="69"/>
      <c r="VJR534" s="69"/>
      <c r="VJS534" s="69"/>
      <c r="VJT534" s="69"/>
      <c r="VJU534" s="69"/>
      <c r="VJV534" s="69"/>
      <c r="VJW534" s="69"/>
      <c r="VJX534" s="69"/>
      <c r="VJY534" s="69"/>
      <c r="VJZ534" s="69"/>
      <c r="VKA534" s="69"/>
      <c r="VKB534" s="69"/>
      <c r="VKC534" s="69"/>
      <c r="VKD534" s="69"/>
      <c r="VKE534" s="69"/>
      <c r="VKF534" s="69"/>
      <c r="VKG534" s="69"/>
      <c r="VKH534" s="69"/>
      <c r="VKI534" s="69"/>
      <c r="VKJ534" s="69"/>
      <c r="VKK534" s="69"/>
      <c r="VKL534" s="69"/>
      <c r="VKM534" s="69"/>
      <c r="VKN534" s="69"/>
      <c r="VKO534" s="69"/>
      <c r="VKP534" s="69"/>
      <c r="VKQ534" s="69"/>
      <c r="VKR534" s="69"/>
      <c r="VKS534" s="69"/>
      <c r="VKT534" s="69"/>
      <c r="VKU534" s="69"/>
      <c r="VKV534" s="69"/>
      <c r="VKW534" s="69"/>
      <c r="VKX534" s="69"/>
      <c r="VKY534" s="69"/>
      <c r="VKZ534" s="69"/>
      <c r="VLA534" s="69"/>
      <c r="VLB534" s="69"/>
      <c r="VLC534" s="69"/>
      <c r="VLD534" s="69"/>
      <c r="VLE534" s="69"/>
      <c r="VLF534" s="69"/>
      <c r="VLG534" s="69"/>
      <c r="VLH534" s="69"/>
      <c r="VLI534" s="69"/>
      <c r="VLJ534" s="69"/>
      <c r="VLK534" s="69"/>
      <c r="VLL534" s="69"/>
      <c r="VLM534" s="69"/>
      <c r="VLN534" s="69"/>
      <c r="VLO534" s="69"/>
      <c r="VLP534" s="69"/>
      <c r="VLQ534" s="69"/>
      <c r="VLR534" s="69"/>
      <c r="VLS534" s="69"/>
      <c r="VLT534" s="69"/>
      <c r="VLU534" s="69"/>
      <c r="VLV534" s="69"/>
      <c r="VLW534" s="69"/>
      <c r="VLX534" s="69"/>
      <c r="VLY534" s="69"/>
      <c r="VLZ534" s="69"/>
      <c r="VMA534" s="69"/>
      <c r="VMB534" s="69"/>
      <c r="VMC534" s="69"/>
      <c r="VMD534" s="69"/>
      <c r="VME534" s="69"/>
      <c r="VMF534" s="69"/>
      <c r="VMG534" s="69"/>
      <c r="VMH534" s="69"/>
      <c r="VMI534" s="69"/>
      <c r="VMJ534" s="69"/>
      <c r="VMK534" s="69"/>
      <c r="VML534" s="69"/>
      <c r="VMM534" s="69"/>
      <c r="VMN534" s="69"/>
      <c r="VMO534" s="69"/>
      <c r="VMP534" s="69"/>
      <c r="VMQ534" s="69"/>
      <c r="VMR534" s="69"/>
      <c r="VMS534" s="69"/>
      <c r="VMT534" s="69"/>
      <c r="VMU534" s="69"/>
      <c r="VMV534" s="69"/>
      <c r="VMW534" s="69"/>
      <c r="VMX534" s="69"/>
      <c r="VMY534" s="69"/>
      <c r="VMZ534" s="69"/>
      <c r="VNA534" s="69"/>
      <c r="VNB534" s="69"/>
      <c r="VNC534" s="69"/>
      <c r="VND534" s="69"/>
      <c r="VNE534" s="69"/>
      <c r="VNF534" s="69"/>
      <c r="VNG534" s="69"/>
      <c r="VNH534" s="69"/>
      <c r="VNI534" s="69"/>
      <c r="VNJ534" s="69"/>
      <c r="VNK534" s="69"/>
      <c r="VNL534" s="69"/>
      <c r="VNM534" s="69"/>
      <c r="VNN534" s="69"/>
      <c r="VNO534" s="69"/>
      <c r="VNP534" s="69"/>
      <c r="VNQ534" s="69"/>
      <c r="VNR534" s="69"/>
      <c r="VNS534" s="69"/>
      <c r="VNT534" s="69"/>
      <c r="VNU534" s="69"/>
      <c r="VNV534" s="69"/>
      <c r="VNW534" s="69"/>
      <c r="VNX534" s="69"/>
      <c r="VNY534" s="69"/>
      <c r="VNZ534" s="69"/>
      <c r="VOA534" s="69"/>
      <c r="VOB534" s="69"/>
      <c r="VOC534" s="69"/>
      <c r="VOD534" s="69"/>
      <c r="VOE534" s="69"/>
      <c r="VOF534" s="69"/>
      <c r="VOG534" s="69"/>
      <c r="VOH534" s="69"/>
      <c r="VOI534" s="69"/>
      <c r="VOJ534" s="69"/>
      <c r="VOK534" s="69"/>
      <c r="VOL534" s="69"/>
      <c r="VOM534" s="69"/>
      <c r="VON534" s="69"/>
      <c r="VOO534" s="69"/>
      <c r="VOP534" s="69"/>
      <c r="VOQ534" s="69"/>
      <c r="VOR534" s="69"/>
      <c r="VOS534" s="69"/>
      <c r="VOT534" s="69"/>
      <c r="VOU534" s="69"/>
      <c r="VOV534" s="69"/>
      <c r="VOW534" s="69"/>
      <c r="VOX534" s="69"/>
      <c r="VOY534" s="69"/>
      <c r="VOZ534" s="69"/>
      <c r="VPA534" s="69"/>
      <c r="VPB534" s="69"/>
      <c r="VPC534" s="69"/>
      <c r="VPD534" s="69"/>
      <c r="VPE534" s="69"/>
      <c r="VPF534" s="69"/>
      <c r="VPG534" s="69"/>
      <c r="VPH534" s="69"/>
      <c r="VPI534" s="69"/>
      <c r="VPJ534" s="69"/>
      <c r="VPK534" s="69"/>
      <c r="VPL534" s="69"/>
      <c r="VPM534" s="69"/>
      <c r="VPN534" s="69"/>
      <c r="VPO534" s="69"/>
      <c r="VPP534" s="69"/>
      <c r="VPQ534" s="69"/>
      <c r="VPR534" s="69"/>
      <c r="VPS534" s="69"/>
      <c r="VPT534" s="69"/>
      <c r="VPU534" s="69"/>
      <c r="VPV534" s="69"/>
      <c r="VPW534" s="69"/>
      <c r="VPX534" s="69"/>
      <c r="VPY534" s="69"/>
      <c r="VPZ534" s="69"/>
      <c r="VQA534" s="69"/>
      <c r="VQB534" s="69"/>
      <c r="VQC534" s="69"/>
      <c r="VQD534" s="69"/>
      <c r="VQE534" s="69"/>
      <c r="VQF534" s="69"/>
      <c r="VQG534" s="69"/>
      <c r="VQH534" s="69"/>
      <c r="VQI534" s="69"/>
      <c r="VQJ534" s="69"/>
      <c r="VQK534" s="69"/>
      <c r="VQL534" s="69"/>
      <c r="VQM534" s="69"/>
      <c r="VQN534" s="69"/>
      <c r="VQO534" s="69"/>
      <c r="VQP534" s="69"/>
      <c r="VQQ534" s="69"/>
      <c r="VQR534" s="69"/>
      <c r="VQS534" s="69"/>
      <c r="VQT534" s="69"/>
      <c r="VQU534" s="69"/>
      <c r="VQV534" s="69"/>
      <c r="VQW534" s="69"/>
      <c r="VQX534" s="69"/>
      <c r="VQY534" s="69"/>
      <c r="VQZ534" s="69"/>
      <c r="VRA534" s="69"/>
      <c r="VRB534" s="69"/>
      <c r="VRC534" s="69"/>
      <c r="VRD534" s="69"/>
      <c r="VRE534" s="69"/>
      <c r="VRF534" s="69"/>
      <c r="VRG534" s="69"/>
      <c r="VRH534" s="69"/>
      <c r="VRI534" s="69"/>
      <c r="VRJ534" s="69"/>
      <c r="VRK534" s="69"/>
      <c r="VRL534" s="69"/>
      <c r="VRM534" s="69"/>
      <c r="VRN534" s="69"/>
      <c r="VRO534" s="69"/>
      <c r="VRP534" s="69"/>
      <c r="VRQ534" s="69"/>
      <c r="VRR534" s="69"/>
      <c r="VRS534" s="69"/>
      <c r="VRT534" s="69"/>
      <c r="VRU534" s="69"/>
      <c r="VRV534" s="69"/>
      <c r="VRW534" s="69"/>
      <c r="VRX534" s="69"/>
      <c r="VRY534" s="69"/>
      <c r="VRZ534" s="69"/>
      <c r="VSA534" s="69"/>
      <c r="VSB534" s="69"/>
      <c r="VSC534" s="69"/>
      <c r="VSD534" s="69"/>
      <c r="VSE534" s="69"/>
      <c r="VSF534" s="69"/>
      <c r="VSG534" s="69"/>
      <c r="VSH534" s="69"/>
      <c r="VSI534" s="69"/>
      <c r="VSJ534" s="69"/>
      <c r="VSK534" s="69"/>
      <c r="VSL534" s="69"/>
      <c r="VSM534" s="69"/>
      <c r="VSN534" s="69"/>
      <c r="VSO534" s="69"/>
      <c r="VSP534" s="69"/>
      <c r="VSQ534" s="69"/>
      <c r="VSR534" s="69"/>
      <c r="VSS534" s="69"/>
      <c r="VST534" s="69"/>
      <c r="VSU534" s="69"/>
      <c r="VSV534" s="69"/>
      <c r="VSW534" s="69"/>
      <c r="VSX534" s="69"/>
      <c r="VSY534" s="69"/>
      <c r="VSZ534" s="69"/>
      <c r="VTA534" s="69"/>
      <c r="VTB534" s="69"/>
      <c r="VTC534" s="69"/>
      <c r="VTD534" s="69"/>
      <c r="VTE534" s="69"/>
      <c r="VTF534" s="69"/>
      <c r="VTG534" s="69"/>
      <c r="VTH534" s="69"/>
      <c r="VTI534" s="69"/>
      <c r="VTJ534" s="69"/>
      <c r="VTK534" s="69"/>
      <c r="VTL534" s="69"/>
      <c r="VTM534" s="69"/>
      <c r="VTN534" s="69"/>
      <c r="VTO534" s="69"/>
      <c r="VTP534" s="69"/>
      <c r="VTQ534" s="69"/>
      <c r="VTR534" s="69"/>
      <c r="VTS534" s="69"/>
      <c r="VTT534" s="69"/>
      <c r="VTU534" s="69"/>
      <c r="VTV534" s="69"/>
      <c r="VTW534" s="69"/>
      <c r="VTX534" s="69"/>
      <c r="VTY534" s="69"/>
      <c r="VTZ534" s="69"/>
      <c r="VUA534" s="69"/>
      <c r="VUB534" s="69"/>
      <c r="VUC534" s="69"/>
      <c r="VUD534" s="69"/>
      <c r="VUE534" s="69"/>
      <c r="VUF534" s="69"/>
      <c r="VUG534" s="69"/>
      <c r="VUH534" s="69"/>
      <c r="VUI534" s="69"/>
      <c r="VUJ534" s="69"/>
      <c r="VUK534" s="69"/>
      <c r="VUL534" s="69"/>
      <c r="VUM534" s="69"/>
      <c r="VUN534" s="69"/>
      <c r="VUO534" s="69"/>
      <c r="VUP534" s="69"/>
      <c r="VUQ534" s="69"/>
      <c r="VUR534" s="69"/>
      <c r="VUS534" s="69"/>
      <c r="VUT534" s="69"/>
      <c r="VUU534" s="69"/>
      <c r="VUV534" s="69"/>
      <c r="VUW534" s="69"/>
      <c r="VUX534" s="69"/>
      <c r="VUY534" s="69"/>
      <c r="VUZ534" s="69"/>
      <c r="VVA534" s="69"/>
      <c r="VVB534" s="69"/>
      <c r="VVC534" s="69"/>
      <c r="VVD534" s="69"/>
      <c r="VVE534" s="69"/>
      <c r="VVF534" s="69"/>
      <c r="VVG534" s="69"/>
      <c r="VVH534" s="69"/>
      <c r="VVI534" s="69"/>
      <c r="VVJ534" s="69"/>
      <c r="VVK534" s="69"/>
      <c r="VVL534" s="69"/>
      <c r="VVM534" s="69"/>
      <c r="VVN534" s="69"/>
      <c r="VVO534" s="69"/>
      <c r="VVP534" s="69"/>
      <c r="VVQ534" s="69"/>
      <c r="VVR534" s="69"/>
      <c r="VVS534" s="69"/>
      <c r="VVT534" s="69"/>
      <c r="VVU534" s="69"/>
      <c r="VVV534" s="69"/>
      <c r="VVW534" s="69"/>
      <c r="VVX534" s="69"/>
      <c r="VVY534" s="69"/>
      <c r="VVZ534" s="69"/>
      <c r="VWA534" s="69"/>
      <c r="VWB534" s="69"/>
      <c r="VWC534" s="69"/>
      <c r="VWD534" s="69"/>
      <c r="VWE534" s="69"/>
      <c r="VWF534" s="69"/>
      <c r="VWG534" s="69"/>
      <c r="VWH534" s="69"/>
      <c r="VWI534" s="69"/>
      <c r="VWJ534" s="69"/>
      <c r="VWK534" s="69"/>
      <c r="VWL534" s="69"/>
      <c r="VWM534" s="69"/>
      <c r="VWN534" s="69"/>
      <c r="VWO534" s="69"/>
      <c r="VWP534" s="69"/>
      <c r="VWQ534" s="69"/>
      <c r="VWR534" s="69"/>
      <c r="VWS534" s="69"/>
      <c r="VWT534" s="69"/>
      <c r="VWU534" s="69"/>
      <c r="VWV534" s="69"/>
      <c r="VWW534" s="69"/>
      <c r="VWX534" s="69"/>
      <c r="VWY534" s="69"/>
      <c r="VWZ534" s="69"/>
      <c r="VXA534" s="69"/>
      <c r="VXB534" s="69"/>
      <c r="VXC534" s="69"/>
      <c r="VXD534" s="69"/>
      <c r="VXE534" s="69"/>
      <c r="VXF534" s="69"/>
      <c r="VXG534" s="69"/>
      <c r="VXH534" s="69"/>
      <c r="VXI534" s="69"/>
      <c r="VXJ534" s="69"/>
      <c r="VXK534" s="69"/>
      <c r="VXL534" s="69"/>
      <c r="VXM534" s="69"/>
      <c r="VXN534" s="69"/>
      <c r="VXO534" s="69"/>
      <c r="VXP534" s="69"/>
      <c r="VXQ534" s="69"/>
      <c r="VXR534" s="69"/>
      <c r="VXS534" s="69"/>
      <c r="VXT534" s="69"/>
      <c r="VXU534" s="69"/>
      <c r="VXV534" s="69"/>
      <c r="VXW534" s="69"/>
      <c r="VXX534" s="69"/>
      <c r="VXY534" s="69"/>
      <c r="VXZ534" s="69"/>
      <c r="VYA534" s="69"/>
      <c r="VYB534" s="69"/>
      <c r="VYC534" s="69"/>
      <c r="VYD534" s="69"/>
      <c r="VYE534" s="69"/>
      <c r="VYF534" s="69"/>
      <c r="VYG534" s="69"/>
      <c r="VYH534" s="69"/>
      <c r="VYI534" s="69"/>
      <c r="VYJ534" s="69"/>
      <c r="VYK534" s="69"/>
      <c r="VYL534" s="69"/>
      <c r="VYM534" s="69"/>
      <c r="VYN534" s="69"/>
      <c r="VYO534" s="69"/>
      <c r="VYP534" s="69"/>
      <c r="VYQ534" s="69"/>
      <c r="VYR534" s="69"/>
      <c r="VYS534" s="69"/>
      <c r="VYT534" s="69"/>
      <c r="VYU534" s="69"/>
      <c r="VYV534" s="69"/>
      <c r="VYW534" s="69"/>
      <c r="VYX534" s="69"/>
      <c r="VYY534" s="69"/>
      <c r="VYZ534" s="69"/>
      <c r="VZA534" s="69"/>
      <c r="VZB534" s="69"/>
      <c r="VZC534" s="69"/>
      <c r="VZD534" s="69"/>
      <c r="VZE534" s="69"/>
      <c r="VZF534" s="69"/>
      <c r="VZG534" s="69"/>
      <c r="VZH534" s="69"/>
      <c r="VZI534" s="69"/>
      <c r="VZJ534" s="69"/>
      <c r="VZK534" s="69"/>
      <c r="VZL534" s="69"/>
      <c r="VZM534" s="69"/>
      <c r="VZN534" s="69"/>
      <c r="VZO534" s="69"/>
      <c r="VZP534" s="69"/>
      <c r="VZQ534" s="69"/>
      <c r="VZR534" s="69"/>
      <c r="VZS534" s="69"/>
      <c r="VZT534" s="69"/>
      <c r="VZU534" s="69"/>
      <c r="VZV534" s="69"/>
      <c r="VZW534" s="69"/>
      <c r="VZX534" s="69"/>
      <c r="VZY534" s="69"/>
      <c r="VZZ534" s="69"/>
      <c r="WAA534" s="69"/>
      <c r="WAB534" s="69"/>
      <c r="WAC534" s="69"/>
      <c r="WAD534" s="69"/>
      <c r="WAE534" s="69"/>
      <c r="WAF534" s="69"/>
      <c r="WAG534" s="69"/>
      <c r="WAH534" s="69"/>
      <c r="WAI534" s="69"/>
      <c r="WAJ534" s="69"/>
      <c r="WAK534" s="69"/>
      <c r="WAL534" s="69"/>
      <c r="WAM534" s="69"/>
      <c r="WAN534" s="69"/>
      <c r="WAO534" s="69"/>
      <c r="WAP534" s="69"/>
      <c r="WAQ534" s="69"/>
      <c r="WAR534" s="69"/>
      <c r="WAS534" s="69"/>
      <c r="WAT534" s="69"/>
      <c r="WAU534" s="69"/>
      <c r="WAV534" s="69"/>
      <c r="WAW534" s="69"/>
      <c r="WAX534" s="69"/>
      <c r="WAY534" s="69"/>
      <c r="WAZ534" s="69"/>
      <c r="WBA534" s="69"/>
      <c r="WBB534" s="69"/>
      <c r="WBC534" s="69"/>
      <c r="WBD534" s="69"/>
      <c r="WBE534" s="69"/>
      <c r="WBF534" s="69"/>
      <c r="WBG534" s="69"/>
      <c r="WBH534" s="69"/>
      <c r="WBI534" s="69"/>
      <c r="WBJ534" s="69"/>
      <c r="WBK534" s="69"/>
      <c r="WBL534" s="69"/>
      <c r="WBM534" s="69"/>
      <c r="WBN534" s="69"/>
      <c r="WBO534" s="69"/>
      <c r="WBP534" s="69"/>
      <c r="WBQ534" s="69"/>
      <c r="WBR534" s="69"/>
      <c r="WBS534" s="69"/>
      <c r="WBT534" s="69"/>
      <c r="WBU534" s="69"/>
      <c r="WBV534" s="69"/>
      <c r="WBW534" s="69"/>
      <c r="WBX534" s="69"/>
      <c r="WBY534" s="69"/>
      <c r="WBZ534" s="69"/>
      <c r="WCA534" s="69"/>
      <c r="WCB534" s="69"/>
      <c r="WCC534" s="69"/>
      <c r="WCD534" s="69"/>
      <c r="WCE534" s="69"/>
      <c r="WCF534" s="69"/>
      <c r="WCG534" s="69"/>
      <c r="WCH534" s="69"/>
      <c r="WCI534" s="69"/>
      <c r="WCJ534" s="69"/>
      <c r="WCK534" s="69"/>
      <c r="WCL534" s="69"/>
      <c r="WCM534" s="69"/>
      <c r="WCN534" s="69"/>
      <c r="WCO534" s="69"/>
      <c r="WCP534" s="69"/>
      <c r="WCQ534" s="69"/>
      <c r="WCR534" s="69"/>
      <c r="WCS534" s="69"/>
      <c r="WCT534" s="69"/>
      <c r="WCU534" s="69"/>
      <c r="WCV534" s="69"/>
      <c r="WCW534" s="69"/>
      <c r="WCX534" s="69"/>
      <c r="WCY534" s="69"/>
      <c r="WCZ534" s="69"/>
      <c r="WDA534" s="69"/>
      <c r="WDB534" s="69"/>
      <c r="WDC534" s="69"/>
      <c r="WDD534" s="69"/>
      <c r="WDE534" s="69"/>
      <c r="WDF534" s="69"/>
      <c r="WDG534" s="69"/>
      <c r="WDH534" s="69"/>
      <c r="WDI534" s="69"/>
      <c r="WDJ534" s="69"/>
      <c r="WDK534" s="69"/>
      <c r="WDL534" s="69"/>
      <c r="WDM534" s="69"/>
      <c r="WDN534" s="69"/>
      <c r="WDO534" s="69"/>
      <c r="WDP534" s="69"/>
      <c r="WDQ534" s="69"/>
      <c r="WDR534" s="69"/>
      <c r="WDS534" s="69"/>
      <c r="WDT534" s="69"/>
      <c r="WDU534" s="69"/>
      <c r="WDV534" s="69"/>
      <c r="WDW534" s="69"/>
      <c r="WDX534" s="69"/>
      <c r="WDY534" s="69"/>
      <c r="WDZ534" s="69"/>
      <c r="WEA534" s="69"/>
      <c r="WEB534" s="69"/>
      <c r="WEC534" s="69"/>
      <c r="WED534" s="69"/>
      <c r="WEE534" s="69"/>
      <c r="WEF534" s="69"/>
      <c r="WEG534" s="69"/>
      <c r="WEH534" s="69"/>
      <c r="WEI534" s="69"/>
      <c r="WEJ534" s="69"/>
      <c r="WEK534" s="69"/>
      <c r="WEL534" s="69"/>
      <c r="WEM534" s="69"/>
      <c r="WEN534" s="69"/>
      <c r="WEO534" s="69"/>
      <c r="WEP534" s="69"/>
      <c r="WEQ534" s="69"/>
      <c r="WER534" s="69"/>
      <c r="WES534" s="69"/>
      <c r="WET534" s="69"/>
      <c r="WEU534" s="69"/>
      <c r="WEV534" s="69"/>
      <c r="WEW534" s="69"/>
      <c r="WEX534" s="69"/>
      <c r="WEY534" s="69"/>
      <c r="WEZ534" s="69"/>
      <c r="WFA534" s="69"/>
      <c r="WFB534" s="69"/>
      <c r="WFC534" s="69"/>
      <c r="WFD534" s="69"/>
      <c r="WFE534" s="69"/>
      <c r="WFF534" s="69"/>
      <c r="WFG534" s="69"/>
      <c r="WFH534" s="69"/>
      <c r="WFI534" s="69"/>
      <c r="WFJ534" s="69"/>
      <c r="WFK534" s="69"/>
      <c r="WFL534" s="69"/>
      <c r="WFM534" s="69"/>
      <c r="WFN534" s="69"/>
      <c r="WFO534" s="69"/>
      <c r="WFP534" s="69"/>
      <c r="WFQ534" s="69"/>
      <c r="WFR534" s="69"/>
      <c r="WFS534" s="69"/>
      <c r="WFT534" s="69"/>
      <c r="WFU534" s="69"/>
      <c r="WFV534" s="69"/>
      <c r="WFW534" s="69"/>
      <c r="WFX534" s="69"/>
      <c r="WFY534" s="69"/>
      <c r="WFZ534" s="69"/>
      <c r="WGA534" s="69"/>
      <c r="WGB534" s="69"/>
      <c r="WGC534" s="69"/>
      <c r="WGD534" s="69"/>
      <c r="WGE534" s="69"/>
      <c r="WGF534" s="69"/>
      <c r="WGG534" s="69"/>
      <c r="WGH534" s="69"/>
      <c r="WGI534" s="69"/>
      <c r="WGJ534" s="69"/>
      <c r="WGK534" s="69"/>
      <c r="WGL534" s="69"/>
      <c r="WGM534" s="69"/>
      <c r="WGN534" s="69"/>
      <c r="WGO534" s="69"/>
      <c r="WGP534" s="69"/>
      <c r="WGQ534" s="69"/>
      <c r="WGR534" s="69"/>
      <c r="WGS534" s="69"/>
      <c r="WGT534" s="69"/>
      <c r="WGU534" s="69"/>
      <c r="WGV534" s="69"/>
      <c r="WGW534" s="69"/>
      <c r="WGX534" s="69"/>
      <c r="WGY534" s="69"/>
      <c r="WGZ534" s="69"/>
      <c r="WHA534" s="69"/>
      <c r="WHB534" s="69"/>
      <c r="WHC534" s="69"/>
      <c r="WHD534" s="69"/>
      <c r="WHE534" s="69"/>
      <c r="WHF534" s="69"/>
      <c r="WHG534" s="69"/>
      <c r="WHH534" s="69"/>
      <c r="WHI534" s="69"/>
      <c r="WHJ534" s="69"/>
      <c r="WHK534" s="69"/>
      <c r="WHL534" s="69"/>
      <c r="WHM534" s="69"/>
      <c r="WHN534" s="69"/>
      <c r="WHO534" s="69"/>
      <c r="WHP534" s="69"/>
      <c r="WHQ534" s="69"/>
      <c r="WHR534" s="69"/>
      <c r="WHS534" s="69"/>
      <c r="WHT534" s="69"/>
      <c r="WHU534" s="69"/>
      <c r="WHV534" s="69"/>
      <c r="WHW534" s="69"/>
      <c r="WHX534" s="69"/>
      <c r="WHY534" s="69"/>
      <c r="WHZ534" s="69"/>
      <c r="WIA534" s="69"/>
      <c r="WIB534" s="69"/>
      <c r="WIC534" s="69"/>
      <c r="WID534" s="69"/>
      <c r="WIE534" s="69"/>
      <c r="WIF534" s="69"/>
      <c r="WIG534" s="69"/>
      <c r="WIH534" s="69"/>
      <c r="WII534" s="69"/>
      <c r="WIJ534" s="69"/>
      <c r="WIK534" s="69"/>
      <c r="WIL534" s="69"/>
      <c r="WIM534" s="69"/>
      <c r="WIN534" s="69"/>
      <c r="WIO534" s="69"/>
      <c r="WIP534" s="69"/>
      <c r="WIQ534" s="69"/>
      <c r="WIR534" s="69"/>
      <c r="WIS534" s="69"/>
      <c r="WIT534" s="69"/>
      <c r="WIU534" s="69"/>
      <c r="WIV534" s="69"/>
      <c r="WIW534" s="69"/>
      <c r="WIX534" s="69"/>
      <c r="WIY534" s="69"/>
      <c r="WIZ534" s="69"/>
      <c r="WJA534" s="69"/>
      <c r="WJB534" s="69"/>
      <c r="WJC534" s="69"/>
      <c r="WJD534" s="69"/>
      <c r="WJE534" s="69"/>
      <c r="WJF534" s="69"/>
      <c r="WJG534" s="69"/>
      <c r="WJH534" s="69"/>
      <c r="WJI534" s="69"/>
      <c r="WJJ534" s="69"/>
      <c r="WJK534" s="69"/>
      <c r="WJL534" s="69"/>
      <c r="WJM534" s="69"/>
      <c r="WJN534" s="69"/>
      <c r="WJO534" s="69"/>
      <c r="WJP534" s="69"/>
      <c r="WJQ534" s="69"/>
      <c r="WJR534" s="69"/>
      <c r="WJS534" s="69"/>
      <c r="WJT534" s="69"/>
      <c r="WJU534" s="69"/>
      <c r="WJV534" s="69"/>
      <c r="WJW534" s="69"/>
      <c r="WJX534" s="69"/>
      <c r="WJY534" s="69"/>
      <c r="WJZ534" s="69"/>
      <c r="WKA534" s="69"/>
      <c r="WKB534" s="69"/>
      <c r="WKC534" s="69"/>
      <c r="WKD534" s="69"/>
      <c r="WKE534" s="69"/>
      <c r="WKF534" s="69"/>
      <c r="WKG534" s="69"/>
      <c r="WKH534" s="69"/>
      <c r="WKI534" s="69"/>
      <c r="WKJ534" s="69"/>
      <c r="WKK534" s="69"/>
      <c r="WKL534" s="69"/>
      <c r="WKM534" s="69"/>
      <c r="WKN534" s="69"/>
      <c r="WKO534" s="69"/>
      <c r="WKP534" s="69"/>
      <c r="WKQ534" s="69"/>
      <c r="WKR534" s="69"/>
      <c r="WKS534" s="69"/>
      <c r="WKT534" s="69"/>
      <c r="WKU534" s="69"/>
      <c r="WKV534" s="69"/>
      <c r="WKW534" s="69"/>
      <c r="WKX534" s="69"/>
      <c r="WKY534" s="69"/>
      <c r="WKZ534" s="69"/>
      <c r="WLA534" s="69"/>
      <c r="WLB534" s="69"/>
      <c r="WLC534" s="69"/>
      <c r="WLD534" s="69"/>
      <c r="WLE534" s="69"/>
      <c r="WLF534" s="69"/>
      <c r="WLG534" s="69"/>
      <c r="WLH534" s="69"/>
      <c r="WLI534" s="69"/>
      <c r="WLJ534" s="69"/>
      <c r="WLK534" s="69"/>
      <c r="WLL534" s="69"/>
      <c r="WLM534" s="69"/>
      <c r="WLN534" s="69"/>
      <c r="WLO534" s="69"/>
      <c r="WLP534" s="69"/>
      <c r="WLQ534" s="69"/>
      <c r="WLR534" s="69"/>
      <c r="WLS534" s="69"/>
      <c r="WLT534" s="69"/>
      <c r="WLU534" s="69"/>
      <c r="WLV534" s="69"/>
      <c r="WLW534" s="69"/>
      <c r="WLX534" s="69"/>
      <c r="WLY534" s="69"/>
      <c r="WLZ534" s="69"/>
      <c r="WMA534" s="69"/>
      <c r="WMB534" s="69"/>
      <c r="WMC534" s="69"/>
      <c r="WMD534" s="69"/>
      <c r="WME534" s="69"/>
      <c r="WMF534" s="69"/>
      <c r="WMG534" s="69"/>
      <c r="WMH534" s="69"/>
      <c r="WMI534" s="69"/>
      <c r="WMJ534" s="69"/>
      <c r="WMK534" s="69"/>
      <c r="WML534" s="69"/>
      <c r="WMM534" s="69"/>
      <c r="WMN534" s="69"/>
      <c r="WMO534" s="69"/>
      <c r="WMP534" s="69"/>
      <c r="WMQ534" s="69"/>
      <c r="WMR534" s="69"/>
      <c r="WMS534" s="69"/>
      <c r="WMT534" s="69"/>
      <c r="WMU534" s="69"/>
      <c r="WMV534" s="69"/>
      <c r="WMW534" s="69"/>
      <c r="WMX534" s="69"/>
      <c r="WMY534" s="69"/>
      <c r="WMZ534" s="69"/>
      <c r="WNA534" s="69"/>
      <c r="WNB534" s="69"/>
      <c r="WNC534" s="69"/>
      <c r="WND534" s="69"/>
      <c r="WNE534" s="69"/>
      <c r="WNF534" s="69"/>
      <c r="WNG534" s="69"/>
      <c r="WNH534" s="69"/>
      <c r="WNI534" s="69"/>
      <c r="WNJ534" s="69"/>
      <c r="WNK534" s="69"/>
      <c r="WNL534" s="69"/>
      <c r="WNM534" s="69"/>
      <c r="WNN534" s="69"/>
      <c r="WNO534" s="69"/>
      <c r="WNP534" s="69"/>
      <c r="WNQ534" s="69"/>
      <c r="WNR534" s="69"/>
      <c r="WNS534" s="69"/>
      <c r="WNT534" s="69"/>
      <c r="WNU534" s="69"/>
      <c r="WNV534" s="69"/>
      <c r="WNW534" s="69"/>
      <c r="WNX534" s="69"/>
      <c r="WNY534" s="69"/>
      <c r="WNZ534" s="69"/>
      <c r="WOA534" s="69"/>
      <c r="WOB534" s="69"/>
      <c r="WOC534" s="69"/>
      <c r="WOD534" s="69"/>
      <c r="WOE534" s="69"/>
      <c r="WOF534" s="69"/>
      <c r="WOG534" s="69"/>
      <c r="WOH534" s="69"/>
      <c r="WOI534" s="69"/>
      <c r="WOJ534" s="69"/>
      <c r="WOK534" s="69"/>
      <c r="WOL534" s="69"/>
      <c r="WOM534" s="69"/>
      <c r="WON534" s="69"/>
      <c r="WOO534" s="69"/>
      <c r="WOP534" s="69"/>
      <c r="WOQ534" s="69"/>
      <c r="WOR534" s="69"/>
      <c r="WOS534" s="69"/>
      <c r="WOT534" s="69"/>
      <c r="WOU534" s="69"/>
      <c r="WOV534" s="69"/>
      <c r="WOW534" s="69"/>
      <c r="WOX534" s="69"/>
      <c r="WOY534" s="69"/>
      <c r="WOZ534" s="69"/>
      <c r="WPA534" s="69"/>
      <c r="WPB534" s="69"/>
      <c r="WPC534" s="69"/>
      <c r="WPD534" s="69"/>
      <c r="WPE534" s="69"/>
      <c r="WPF534" s="69"/>
      <c r="WPG534" s="69"/>
      <c r="WPH534" s="69"/>
      <c r="WPI534" s="69"/>
      <c r="WPJ534" s="69"/>
      <c r="WPK534" s="69"/>
      <c r="WPL534" s="69"/>
      <c r="WPM534" s="69"/>
      <c r="WPN534" s="69"/>
      <c r="WPO534" s="69"/>
      <c r="WPP534" s="69"/>
      <c r="WPQ534" s="69"/>
      <c r="WPR534" s="69"/>
      <c r="WPS534" s="69"/>
      <c r="WPT534" s="69"/>
      <c r="WPU534" s="69"/>
      <c r="WPV534" s="69"/>
      <c r="WPW534" s="69"/>
      <c r="WPX534" s="69"/>
      <c r="WPY534" s="69"/>
      <c r="WPZ534" s="69"/>
      <c r="WQA534" s="69"/>
      <c r="WQB534" s="69"/>
      <c r="WQC534" s="69"/>
      <c r="WQD534" s="69"/>
      <c r="WQE534" s="69"/>
      <c r="WQF534" s="69"/>
      <c r="WQG534" s="69"/>
      <c r="WQH534" s="69"/>
      <c r="WQI534" s="69"/>
      <c r="WQJ534" s="69"/>
      <c r="WQK534" s="69"/>
      <c r="WQL534" s="69"/>
      <c r="WQM534" s="69"/>
      <c r="WQN534" s="69"/>
      <c r="WQO534" s="69"/>
      <c r="WQP534" s="69"/>
      <c r="WQQ534" s="69"/>
      <c r="WQR534" s="69"/>
      <c r="WQS534" s="69"/>
      <c r="WQT534" s="69"/>
      <c r="WQU534" s="69"/>
      <c r="WQV534" s="69"/>
      <c r="WQW534" s="69"/>
      <c r="WQX534" s="69"/>
      <c r="WQY534" s="69"/>
      <c r="WQZ534" s="69"/>
      <c r="WRA534" s="69"/>
      <c r="WRB534" s="69"/>
      <c r="WRC534" s="69"/>
      <c r="WRD534" s="69"/>
      <c r="WRE534" s="69"/>
      <c r="WRF534" s="69"/>
      <c r="WRG534" s="69"/>
      <c r="WRH534" s="69"/>
      <c r="WRI534" s="69"/>
      <c r="WRJ534" s="69"/>
      <c r="WRK534" s="69"/>
      <c r="WRL534" s="69"/>
      <c r="WRM534" s="69"/>
      <c r="WRN534" s="69"/>
      <c r="WRO534" s="69"/>
      <c r="WRP534" s="69"/>
      <c r="WRQ534" s="69"/>
      <c r="WRR534" s="69"/>
      <c r="WRS534" s="69"/>
      <c r="WRT534" s="69"/>
      <c r="WRU534" s="69"/>
      <c r="WRV534" s="69"/>
      <c r="WRW534" s="69"/>
      <c r="WRX534" s="69"/>
      <c r="WRY534" s="69"/>
      <c r="WRZ534" s="69"/>
      <c r="WSA534" s="69"/>
      <c r="WSB534" s="69"/>
      <c r="WSC534" s="69"/>
      <c r="WSD534" s="69"/>
      <c r="WSE534" s="69"/>
      <c r="WSF534" s="69"/>
      <c r="WSG534" s="69"/>
      <c r="WSH534" s="69"/>
      <c r="WSI534" s="69"/>
      <c r="WSJ534" s="69"/>
      <c r="WSK534" s="69"/>
      <c r="WSL534" s="69"/>
      <c r="WSM534" s="69"/>
      <c r="WSN534" s="69"/>
      <c r="WSO534" s="69"/>
      <c r="WSP534" s="69"/>
      <c r="WSQ534" s="69"/>
      <c r="WSR534" s="69"/>
      <c r="WSS534" s="69"/>
      <c r="WST534" s="69"/>
      <c r="WSU534" s="69"/>
      <c r="WSV534" s="69"/>
      <c r="WSW534" s="69"/>
      <c r="WSX534" s="69"/>
      <c r="WSY534" s="69"/>
      <c r="WSZ534" s="69"/>
      <c r="WTA534" s="69"/>
      <c r="WTB534" s="69"/>
      <c r="WTC534" s="69"/>
      <c r="WTD534" s="69"/>
      <c r="WTE534" s="69"/>
      <c r="WTF534" s="69"/>
      <c r="WTG534" s="69"/>
      <c r="WTH534" s="69"/>
      <c r="WTI534" s="69"/>
      <c r="WTJ534" s="69"/>
      <c r="WTK534" s="69"/>
      <c r="WTL534" s="69"/>
      <c r="WTM534" s="69"/>
      <c r="WTN534" s="69"/>
      <c r="WTO534" s="69"/>
      <c r="WTP534" s="69"/>
      <c r="WTQ534" s="69"/>
      <c r="WTR534" s="69"/>
      <c r="WTS534" s="69"/>
      <c r="WTT534" s="69"/>
      <c r="WTU534" s="69"/>
      <c r="WTV534" s="69"/>
      <c r="WTW534" s="69"/>
      <c r="WTX534" s="69"/>
      <c r="WTY534" s="69"/>
      <c r="WTZ534" s="69"/>
      <c r="WUA534" s="69"/>
      <c r="WUB534" s="69"/>
      <c r="WUC534" s="69"/>
      <c r="WUD534" s="69"/>
      <c r="WUE534" s="69"/>
      <c r="WUF534" s="69"/>
      <c r="WUG534" s="69"/>
      <c r="WUH534" s="69"/>
      <c r="WUI534" s="69"/>
      <c r="WUJ534" s="69"/>
      <c r="WUK534" s="69"/>
      <c r="WUL534" s="69"/>
      <c r="WUM534" s="69"/>
      <c r="WUN534" s="69"/>
      <c r="WUO534" s="69"/>
      <c r="WUP534" s="69"/>
      <c r="WUQ534" s="69"/>
      <c r="WUR534" s="69"/>
      <c r="WUS534" s="69"/>
      <c r="WUT534" s="69"/>
      <c r="WUU534" s="69"/>
      <c r="WUV534" s="69"/>
      <c r="WUW534" s="69"/>
      <c r="WUX534" s="69"/>
      <c r="WUY534" s="69"/>
      <c r="WUZ534" s="69"/>
      <c r="WVA534" s="69"/>
      <c r="WVB534" s="69"/>
      <c r="WVC534" s="69"/>
      <c r="WVD534" s="69"/>
      <c r="WVE534" s="69"/>
      <c r="WVF534" s="69"/>
      <c r="WVG534" s="69"/>
      <c r="WVH534" s="69"/>
      <c r="WVI534" s="69"/>
      <c r="WVJ534" s="69"/>
      <c r="WVK534" s="69"/>
      <c r="WVL534" s="69"/>
      <c r="WVM534" s="69"/>
      <c r="WVN534" s="69"/>
      <c r="WVO534" s="69"/>
      <c r="WVP534" s="69"/>
      <c r="WVQ534" s="69"/>
      <c r="WVR534" s="69"/>
      <c r="WVS534" s="69"/>
      <c r="WVT534" s="69"/>
      <c r="WVU534" s="69"/>
      <c r="WVV534" s="69"/>
      <c r="WVW534" s="69"/>
      <c r="WVX534" s="69"/>
      <c r="WVY534" s="69"/>
      <c r="WVZ534" s="69"/>
      <c r="WWA534" s="69"/>
      <c r="WWB534" s="69"/>
      <c r="WWC534" s="69"/>
      <c r="WWD534" s="69"/>
      <c r="WWE534" s="69"/>
      <c r="WWF534" s="69"/>
      <c r="WWG534" s="69"/>
      <c r="WWH534" s="69"/>
      <c r="WWI534" s="69"/>
      <c r="WWJ534" s="69"/>
      <c r="WWK534" s="69"/>
      <c r="WWL534" s="69"/>
      <c r="WWM534" s="69"/>
      <c r="WWN534" s="69"/>
      <c r="WWO534" s="69"/>
      <c r="WWP534" s="69"/>
      <c r="WWQ534" s="69"/>
      <c r="WWR534" s="69"/>
      <c r="WWS534" s="69"/>
      <c r="WWT534" s="69"/>
      <c r="WWU534" s="69"/>
      <c r="WWV534" s="69"/>
      <c r="WWW534" s="69"/>
      <c r="WWX534" s="69"/>
      <c r="WWY534" s="69"/>
      <c r="WWZ534" s="69"/>
      <c r="WXA534" s="69"/>
      <c r="WXB534" s="69"/>
      <c r="WXC534" s="69"/>
      <c r="WXD534" s="69"/>
      <c r="WXE534" s="69"/>
      <c r="WXF534" s="69"/>
      <c r="WXG534" s="69"/>
      <c r="WXH534" s="69"/>
      <c r="WXI534" s="69"/>
      <c r="WXJ534" s="69"/>
      <c r="WXK534" s="69"/>
      <c r="WXL534" s="69"/>
      <c r="WXM534" s="69"/>
      <c r="WXN534" s="69"/>
      <c r="WXO534" s="69"/>
      <c r="WXP534" s="69"/>
      <c r="WXQ534" s="69"/>
      <c r="WXR534" s="69"/>
      <c r="WXS534" s="69"/>
      <c r="WXT534" s="69"/>
      <c r="WXU534" s="69"/>
      <c r="WXV534" s="69"/>
      <c r="WXW534" s="69"/>
      <c r="WXX534" s="69"/>
      <c r="WXY534" s="69"/>
      <c r="WXZ534" s="69"/>
      <c r="WYA534" s="69"/>
      <c r="WYB534" s="69"/>
      <c r="WYC534" s="69"/>
      <c r="WYD534" s="69"/>
      <c r="WYE534" s="69"/>
      <c r="WYF534" s="69"/>
      <c r="WYG534" s="69"/>
      <c r="WYH534" s="69"/>
      <c r="WYI534" s="69"/>
      <c r="WYJ534" s="69"/>
      <c r="WYK534" s="69"/>
      <c r="WYL534" s="69"/>
      <c r="WYM534" s="69"/>
      <c r="WYN534" s="69"/>
      <c r="WYO534" s="69"/>
      <c r="WYP534" s="69"/>
      <c r="WYQ534" s="69"/>
      <c r="WYR534" s="69"/>
      <c r="WYS534" s="69"/>
      <c r="WYT534" s="69"/>
      <c r="WYU534" s="69"/>
      <c r="WYV534" s="69"/>
      <c r="WYW534" s="69"/>
      <c r="WYX534" s="69"/>
      <c r="WYY534" s="69"/>
      <c r="WYZ534" s="69"/>
      <c r="WZA534" s="69"/>
      <c r="WZB534" s="69"/>
      <c r="WZC534" s="69"/>
      <c r="WZD534" s="69"/>
      <c r="WZE534" s="69"/>
      <c r="WZF534" s="69"/>
      <c r="WZG534" s="69"/>
      <c r="WZH534" s="69"/>
      <c r="WZI534" s="69"/>
      <c r="WZJ534" s="69"/>
      <c r="WZK534" s="69"/>
      <c r="WZL534" s="69"/>
      <c r="WZM534" s="69"/>
      <c r="WZN534" s="69"/>
      <c r="WZO534" s="69"/>
      <c r="WZP534" s="69"/>
      <c r="WZQ534" s="69"/>
      <c r="WZR534" s="69"/>
      <c r="WZS534" s="69"/>
      <c r="WZT534" s="69"/>
      <c r="WZU534" s="69"/>
      <c r="WZV534" s="69"/>
      <c r="WZW534" s="69"/>
      <c r="WZX534" s="69"/>
      <c r="WZY534" s="69"/>
      <c r="WZZ534" s="69"/>
      <c r="XAA534" s="69"/>
      <c r="XAB534" s="69"/>
      <c r="XAC534" s="69"/>
      <c r="XAD534" s="69"/>
      <c r="XAE534" s="69"/>
      <c r="XAF534" s="69"/>
      <c r="XAG534" s="69"/>
      <c r="XAH534" s="69"/>
      <c r="XAI534" s="69"/>
      <c r="XAJ534" s="69"/>
      <c r="XAK534" s="69"/>
      <c r="XAL534" s="69"/>
      <c r="XAM534" s="69"/>
      <c r="XAN534" s="69"/>
      <c r="XAO534" s="69"/>
      <c r="XAP534" s="69"/>
      <c r="XAQ534" s="69"/>
      <c r="XAR534" s="69"/>
      <c r="XAS534" s="69"/>
      <c r="XAT534" s="69"/>
      <c r="XAU534" s="69"/>
      <c r="XAV534" s="69"/>
      <c r="XAW534" s="69"/>
      <c r="XAX534" s="69"/>
      <c r="XAY534" s="69"/>
      <c r="XAZ534" s="69"/>
      <c r="XBA534" s="69"/>
      <c r="XBB534" s="69"/>
      <c r="XBC534" s="69"/>
      <c r="XBD534" s="69"/>
      <c r="XBE534" s="69"/>
      <c r="XBF534" s="69"/>
      <c r="XBG534" s="69"/>
      <c r="XBH534" s="69"/>
      <c r="XBI534" s="69"/>
      <c r="XBJ534" s="69"/>
      <c r="XBK534" s="69"/>
      <c r="XBL534" s="69"/>
      <c r="XBM534" s="69"/>
      <c r="XBN534" s="69"/>
      <c r="XBO534" s="69"/>
      <c r="XBP534" s="69"/>
      <c r="XBQ534" s="69"/>
      <c r="XBR534" s="69"/>
      <c r="XBS534" s="69"/>
      <c r="XBT534" s="69"/>
      <c r="XBU534" s="69"/>
      <c r="XBV534" s="69"/>
      <c r="XBW534" s="69"/>
      <c r="XBX534" s="69"/>
      <c r="XBY534" s="69"/>
      <c r="XBZ534" s="69"/>
      <c r="XCA534" s="69"/>
      <c r="XCB534" s="69"/>
      <c r="XCC534" s="69"/>
      <c r="XCD534" s="69"/>
      <c r="XCE534" s="69"/>
      <c r="XCF534" s="69"/>
      <c r="XCG534" s="69"/>
      <c r="XCH534" s="69"/>
      <c r="XCI534" s="69"/>
      <c r="XCJ534" s="69"/>
      <c r="XCK534" s="69"/>
      <c r="XCL534" s="69"/>
      <c r="XCM534" s="69"/>
      <c r="XCN534" s="69"/>
      <c r="XCO534" s="69"/>
      <c r="XCP534" s="69"/>
      <c r="XCQ534" s="69"/>
      <c r="XCR534" s="69"/>
      <c r="XCS534" s="69"/>
      <c r="XCT534" s="69"/>
      <c r="XCU534" s="69"/>
      <c r="XCV534" s="69"/>
      <c r="XCW534" s="69"/>
      <c r="XCX534" s="69"/>
      <c r="XCY534" s="69"/>
      <c r="XCZ534" s="69"/>
      <c r="XDA534" s="69"/>
      <c r="XDB534" s="69"/>
      <c r="XDC534" s="69"/>
      <c r="XDD534" s="69"/>
      <c r="XDE534" s="69"/>
      <c r="XDF534" s="69"/>
      <c r="XDG534" s="69"/>
      <c r="XDH534" s="69"/>
      <c r="XDI534" s="69"/>
      <c r="XDJ534" s="69"/>
      <c r="XDK534" s="69"/>
      <c r="XDL534" s="69"/>
      <c r="XDM534" s="69"/>
      <c r="XDN534" s="69"/>
      <c r="XDO534" s="69"/>
      <c r="XDP534" s="69"/>
      <c r="XDQ534" s="69"/>
      <c r="XDR534" s="69"/>
      <c r="XDS534" s="69"/>
      <c r="XDT534" s="69"/>
      <c r="XDU534" s="69"/>
      <c r="XDV534" s="69"/>
      <c r="XDW534" s="69"/>
      <c r="XDX534" s="69"/>
      <c r="XDY534" s="69"/>
      <c r="XDZ534" s="69"/>
      <c r="XEA534" s="69"/>
      <c r="XEB534" s="69"/>
      <c r="XEC534" s="69"/>
      <c r="XED534" s="69"/>
      <c r="XEE534" s="69"/>
      <c r="XEF534" s="69"/>
      <c r="XEG534" s="69"/>
      <c r="XEH534" s="69"/>
      <c r="XEI534" s="69"/>
      <c r="XEJ534" s="69"/>
      <c r="XEK534" s="69"/>
      <c r="XEL534" s="69"/>
      <c r="XEM534" s="69"/>
      <c r="XEN534" s="69"/>
      <c r="XEO534" s="69"/>
      <c r="XEP534" s="69"/>
      <c r="XEQ534" s="69"/>
      <c r="XER534" s="69"/>
      <c r="XES534" s="69"/>
      <c r="XET534" s="69"/>
      <c r="XEU534" s="69"/>
      <c r="XEV534" s="69"/>
      <c r="XEW534" s="69"/>
      <c r="XEX534" s="69"/>
      <c r="XEY534" s="69"/>
      <c r="XEZ534" s="69"/>
      <c r="XFA534" s="69"/>
      <c r="XFB534" s="69"/>
    </row>
    <row r="535" spans="1:16382" ht="15.75" thickBot="1">
      <c r="A535" s="188"/>
      <c r="B535" s="189"/>
      <c r="C535" s="190"/>
      <c r="D535" s="191"/>
      <c r="E535" s="191"/>
      <c r="F535" s="191"/>
      <c r="G535" s="191"/>
      <c r="H535" s="190"/>
      <c r="I535" s="192"/>
      <c r="J535" s="189"/>
      <c r="K535" s="189"/>
      <c r="L535" s="193"/>
      <c r="M535" s="194"/>
      <c r="N535" s="193"/>
      <c r="O535" s="189"/>
      <c r="P535" s="194"/>
      <c r="Q535" s="195"/>
      <c r="R535" s="195"/>
      <c r="S535" s="196"/>
      <c r="T535" s="197"/>
      <c r="U535" s="198"/>
      <c r="V535" s="199"/>
      <c r="W535" s="200"/>
      <c r="X535" s="197"/>
      <c r="Y535" s="201"/>
      <c r="Z535" s="197"/>
      <c r="AA535" s="197"/>
      <c r="AB535" s="197"/>
      <c r="AC535" s="197"/>
      <c r="AD535" s="197"/>
      <c r="AE535" s="197"/>
      <c r="AF535" s="197"/>
      <c r="AG535" s="202"/>
    </row>
    <row r="536" spans="1:16382">
      <c r="C536" s="85"/>
      <c r="D536" s="86"/>
      <c r="E536" s="86"/>
      <c r="F536" s="86"/>
      <c r="G536" s="86"/>
      <c r="H536" s="85"/>
    </row>
    <row r="537" spans="1:16382">
      <c r="C537" s="85"/>
      <c r="D537" s="86"/>
      <c r="E537" s="86"/>
      <c r="F537" s="86"/>
      <c r="G537" s="86"/>
      <c r="H537" s="85"/>
    </row>
    <row r="538" spans="1:16382">
      <c r="C538" s="85"/>
      <c r="D538" s="86"/>
      <c r="E538" s="86"/>
      <c r="F538" s="86"/>
      <c r="G538" s="86"/>
      <c r="H538" s="85"/>
    </row>
  </sheetData>
  <sheetProtection sort="0"/>
  <autoFilter ref="A21:IU529"/>
  <mergeCells count="49">
    <mergeCell ref="J4:O6"/>
    <mergeCell ref="J9:J11"/>
    <mergeCell ref="K9:M11"/>
    <mergeCell ref="S14:T14"/>
    <mergeCell ref="S16:T16"/>
    <mergeCell ref="S13:T13"/>
    <mergeCell ref="S15:T15"/>
    <mergeCell ref="S8:T8"/>
    <mergeCell ref="S9:T9"/>
    <mergeCell ref="S10:T10"/>
    <mergeCell ref="S11:T11"/>
    <mergeCell ref="S12:T12"/>
    <mergeCell ref="S3:T3"/>
    <mergeCell ref="S4:T4"/>
    <mergeCell ref="S5:T5"/>
    <mergeCell ref="S6:T6"/>
    <mergeCell ref="S7:T7"/>
    <mergeCell ref="L19:L20"/>
    <mergeCell ref="A19:A20"/>
    <mergeCell ref="B19:B20"/>
    <mergeCell ref="C19:C20"/>
    <mergeCell ref="D19:D20"/>
    <mergeCell ref="E19:E20"/>
    <mergeCell ref="F19:F20"/>
    <mergeCell ref="AE19:AE20"/>
    <mergeCell ref="AF19:AF20"/>
    <mergeCell ref="AG19:AG20"/>
    <mergeCell ref="T19:T20"/>
    <mergeCell ref="W19:W20"/>
    <mergeCell ref="X19:X20"/>
    <mergeCell ref="Y19:Y20"/>
    <mergeCell ref="Z19:Z20"/>
    <mergeCell ref="AA19:AA20"/>
    <mergeCell ref="C532:H532"/>
    <mergeCell ref="C533:H533"/>
    <mergeCell ref="AB19:AB20"/>
    <mergeCell ref="AC19:AC20"/>
    <mergeCell ref="AD19:AD20"/>
    <mergeCell ref="M19:N19"/>
    <mergeCell ref="O19:O20"/>
    <mergeCell ref="P19:P20"/>
    <mergeCell ref="Q19:Q20"/>
    <mergeCell ref="R19:R20"/>
    <mergeCell ref="S19:S20"/>
    <mergeCell ref="G19:G20"/>
    <mergeCell ref="H19:H20"/>
    <mergeCell ref="I19:I20"/>
    <mergeCell ref="J19:J20"/>
    <mergeCell ref="K19:K20"/>
  </mergeCells>
  <pageMargins left="0.70866141732283472" right="0.70866141732283472" top="0.74803149606299213" bottom="0.74803149606299213" header="0.31496062992125984" footer="0.31496062992125984"/>
  <pageSetup paperSize="8" scale="21" orientation="landscape" r:id="rId1"/>
  <headerFooter>
    <oddFooter>&amp;LMpumalanga Department of Education&amp;CPage &amp;P of &amp;N&amp;RTable B5 - 2015/16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PROJECT LIST 2015-16 rev 00</vt:lpstr>
      <vt:lpstr>'PROJECT LIST 2015-16 rev 00'!Print_Area</vt:lpstr>
      <vt:lpstr>'PROJECT LIST 2015-16 rev 00'!Print_Titles</vt:lpstr>
    </vt:vector>
  </TitlesOfParts>
  <Company>Proline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NNNtuli</dc:creator>
  <cp:lastModifiedBy>somgede.f</cp:lastModifiedBy>
  <cp:lastPrinted>2014-07-25T11:38:33Z</cp:lastPrinted>
  <dcterms:created xsi:type="dcterms:W3CDTF">2014-07-21T17:31:26Z</dcterms:created>
  <dcterms:modified xsi:type="dcterms:W3CDTF">2015-06-12T13:45:50Z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